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Année 2023-2024\Classe 2nd\Séance 26 - Cheminement Encadré\"/>
    </mc:Choice>
  </mc:AlternateContent>
  <xr:revisionPtr revIDLastSave="0" documentId="13_ncr:1_{D7F5AA15-FFFC-4357-8A7A-7E2AC63545F0}" xr6:coauthVersionLast="47" xr6:coauthVersionMax="47" xr10:uidLastSave="{00000000-0000-0000-0000-000000000000}"/>
  <bookViews>
    <workbookView xWindow="-108" yWindow="-108" windowWidth="23256" windowHeight="12456" activeTab="4" xr2:uid="{154E5BD3-A89B-4094-8764-2D1CDB62DD51}"/>
  </bookViews>
  <sheets>
    <sheet name="Coordonnées" sheetId="1" r:id="rId1"/>
    <sheet name="Carnets" sheetId="3" r:id="rId2"/>
    <sheet name="V0 515" sheetId="5" r:id="rId3"/>
    <sheet name="V0 1002" sheetId="2" r:id="rId4"/>
    <sheet name="Cheminement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4" l="1"/>
  <c r="H13" i="4"/>
  <c r="I3" i="4"/>
  <c r="H3" i="4"/>
  <c r="B4" i="4"/>
  <c r="B6" i="4" s="1"/>
  <c r="B8" i="4" s="1"/>
  <c r="B10" i="4" s="1"/>
  <c r="C13" i="1"/>
  <c r="B13" i="1"/>
  <c r="C11" i="1"/>
  <c r="C12" i="1" s="1"/>
  <c r="B11" i="1"/>
  <c r="B12" i="1" s="1"/>
  <c r="O10" i="5"/>
  <c r="O9" i="5"/>
  <c r="O8" i="5"/>
  <c r="O7" i="5"/>
  <c r="O6" i="5"/>
  <c r="O5" i="5"/>
  <c r="O4" i="5"/>
  <c r="O3" i="5"/>
  <c r="E10" i="5"/>
  <c r="D10" i="5"/>
  <c r="E9" i="5"/>
  <c r="H9" i="5" s="1"/>
  <c r="J9" i="5" s="1"/>
  <c r="L9" i="5" s="1"/>
  <c r="D9" i="5"/>
  <c r="E8" i="5"/>
  <c r="H8" i="5" s="1"/>
  <c r="J8" i="5" s="1"/>
  <c r="L8" i="5" s="1"/>
  <c r="D8" i="5"/>
  <c r="E7" i="5"/>
  <c r="D7" i="5"/>
  <c r="E6" i="5"/>
  <c r="D6" i="5"/>
  <c r="H6" i="5" s="1"/>
  <c r="J6" i="5" s="1"/>
  <c r="L6" i="5" s="1"/>
  <c r="E5" i="5"/>
  <c r="D5" i="5"/>
  <c r="H5" i="5" s="1"/>
  <c r="J5" i="5" s="1"/>
  <c r="L5" i="5" s="1"/>
  <c r="E4" i="5"/>
  <c r="D4" i="5"/>
  <c r="F4" i="5" s="1"/>
  <c r="E3" i="5"/>
  <c r="F3" i="5" s="1"/>
  <c r="D3" i="5"/>
  <c r="H10" i="5"/>
  <c r="J10" i="5" s="1"/>
  <c r="L10" i="5" s="1"/>
  <c r="H7" i="5"/>
  <c r="J7" i="5" s="1"/>
  <c r="L7" i="5" s="1"/>
  <c r="H4" i="5"/>
  <c r="J4" i="5" s="1"/>
  <c r="L4" i="5" s="1"/>
  <c r="G13" i="4"/>
  <c r="E10" i="4"/>
  <c r="E8" i="4"/>
  <c r="E6" i="4"/>
  <c r="E4" i="4"/>
  <c r="H6" i="2"/>
  <c r="H5" i="2"/>
  <c r="H4" i="2"/>
  <c r="E6" i="2"/>
  <c r="D6" i="2"/>
  <c r="E5" i="2"/>
  <c r="D5" i="2"/>
  <c r="F5" i="2" s="1"/>
  <c r="H3" i="2"/>
  <c r="E3" i="2"/>
  <c r="D3" i="2"/>
  <c r="F3" i="2" s="1"/>
  <c r="M24" i="3"/>
  <c r="L24" i="3"/>
  <c r="M22" i="3"/>
  <c r="L22" i="3"/>
  <c r="M19" i="3"/>
  <c r="L19" i="3"/>
  <c r="M17" i="3"/>
  <c r="L17" i="3"/>
  <c r="M14" i="3"/>
  <c r="L14" i="3"/>
  <c r="M12" i="3"/>
  <c r="L12" i="3"/>
  <c r="L5" i="3"/>
  <c r="M5" i="3"/>
  <c r="L7" i="3"/>
  <c r="M7" i="3"/>
  <c r="L9" i="3"/>
  <c r="M9" i="3"/>
  <c r="M3" i="3"/>
  <c r="L3" i="3"/>
  <c r="C28" i="3"/>
  <c r="C27" i="3"/>
  <c r="E5" i="3"/>
  <c r="F5" i="3"/>
  <c r="E7" i="3"/>
  <c r="F7" i="3"/>
  <c r="E9" i="3"/>
  <c r="F9" i="3"/>
  <c r="E11" i="3"/>
  <c r="F11" i="3"/>
  <c r="E13" i="3"/>
  <c r="F13" i="3"/>
  <c r="E15" i="3"/>
  <c r="F15" i="3"/>
  <c r="E17" i="3"/>
  <c r="F17" i="3"/>
  <c r="E19" i="3"/>
  <c r="F19" i="3"/>
  <c r="E21" i="3"/>
  <c r="F21" i="3"/>
  <c r="E23" i="3"/>
  <c r="F23" i="3"/>
  <c r="E25" i="3"/>
  <c r="F25" i="3"/>
  <c r="F27" i="3"/>
  <c r="F3" i="3"/>
  <c r="E3" i="3"/>
  <c r="J25" i="3"/>
  <c r="J23" i="3"/>
  <c r="J20" i="3"/>
  <c r="J18" i="3"/>
  <c r="J15" i="3"/>
  <c r="J13" i="3"/>
  <c r="F8" i="5" l="1"/>
  <c r="H3" i="5"/>
  <c r="J3" i="5" s="1"/>
  <c r="L3" i="5" s="1"/>
  <c r="F6" i="5"/>
  <c r="F10" i="5"/>
  <c r="F5" i="5"/>
  <c r="F9" i="5"/>
  <c r="F7" i="5"/>
  <c r="F6" i="2"/>
  <c r="F7" i="2" s="1"/>
  <c r="G3" i="2"/>
  <c r="I3" i="2" s="1"/>
  <c r="G5" i="2"/>
  <c r="I5" i="2" s="1"/>
  <c r="G6" i="2"/>
  <c r="I6" i="2" s="1"/>
  <c r="E27" i="3"/>
  <c r="F11" i="5" l="1"/>
  <c r="M3" i="5"/>
  <c r="J3" i="2"/>
  <c r="K6" i="2" l="1"/>
  <c r="G4" i="2"/>
  <c r="K5" i="2"/>
  <c r="K3" i="2"/>
  <c r="B18" i="4" l="1"/>
  <c r="B14" i="4" s="1"/>
  <c r="B16" i="4" s="1"/>
  <c r="C4" i="4" l="1"/>
  <c r="C6" i="4"/>
  <c r="D6" i="4" s="1"/>
  <c r="G6" i="4" s="1"/>
  <c r="C8" i="4"/>
  <c r="C10" i="4"/>
  <c r="D10" i="4" l="1"/>
  <c r="D4" i="4"/>
  <c r="F4" i="4" s="1"/>
  <c r="H5" i="4" s="1"/>
  <c r="D8" i="4"/>
  <c r="G8" i="4" s="1"/>
  <c r="G10" i="4"/>
  <c r="F10" i="4"/>
  <c r="F6" i="4"/>
  <c r="G4" i="4" l="1"/>
  <c r="I5" i="4" s="1"/>
  <c r="I7" i="4" s="1"/>
  <c r="I9" i="4" s="1"/>
  <c r="I11" i="4" s="1"/>
  <c r="I14" i="4" s="1"/>
  <c r="I16" i="4" s="1"/>
  <c r="K10" i="4" s="1"/>
  <c r="H7" i="4"/>
  <c r="F8" i="4"/>
  <c r="H9" i="4" l="1"/>
  <c r="H11" i="4" s="1"/>
  <c r="H14" i="4" s="1"/>
  <c r="H15" i="4" s="1"/>
  <c r="K4" i="4"/>
  <c r="M5" i="4" s="1"/>
  <c r="K6" i="4"/>
  <c r="K8" i="4"/>
  <c r="M7" i="4" l="1"/>
  <c r="M9" i="4" s="1"/>
  <c r="M11" i="4" s="1"/>
  <c r="H16" i="4"/>
  <c r="J10" i="4" s="1"/>
  <c r="J8" i="4" l="1"/>
  <c r="J6" i="4"/>
  <c r="J4" i="4"/>
  <c r="L5" i="4" s="1"/>
  <c r="L7" i="4" s="1"/>
  <c r="L9" i="4" s="1"/>
  <c r="L11" i="4" s="1"/>
</calcChain>
</file>

<file path=xl/sharedStrings.xml><?xml version="1.0" encoding="utf-8"?>
<sst xmlns="http://schemas.openxmlformats.org/spreadsheetml/2006/main" count="138" uniqueCount="59">
  <si>
    <t>Bassin 1</t>
  </si>
  <si>
    <t>Bassin 2</t>
  </si>
  <si>
    <t>Bassin 3</t>
  </si>
  <si>
    <t>Bassin 4</t>
  </si>
  <si>
    <t>Hz</t>
  </si>
  <si>
    <t>Dh</t>
  </si>
  <si>
    <t>Visée</t>
  </si>
  <si>
    <t>Cg / Cd</t>
  </si>
  <si>
    <r>
      <t xml:space="preserve">Cg   </t>
    </r>
    <r>
      <rPr>
        <sz val="11"/>
        <color theme="0"/>
        <rFont val="Calibri"/>
        <family val="2"/>
        <scheme val="minor"/>
      </rPr>
      <t>.</t>
    </r>
  </si>
  <si>
    <r>
      <rPr>
        <sz val="11"/>
        <color theme="0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  Cd</t>
    </r>
  </si>
  <si>
    <t>Hz moy</t>
  </si>
  <si>
    <t>Dh moy</t>
  </si>
  <si>
    <t>Carnet de mesures depuis la station 515</t>
  </si>
  <si>
    <r>
      <rPr>
        <b/>
        <sz val="14"/>
        <color theme="1"/>
        <rFont val="Symbol"/>
        <family val="1"/>
        <charset val="2"/>
      </rPr>
      <t>D</t>
    </r>
    <r>
      <rPr>
        <b/>
        <sz val="14"/>
        <color theme="1"/>
        <rFont val="Calibri"/>
        <family val="2"/>
        <scheme val="minor"/>
      </rPr>
      <t xml:space="preserve"> E</t>
    </r>
    <r>
      <rPr>
        <b/>
        <sz val="10"/>
        <color theme="1"/>
        <rFont val="Calibri"/>
        <family val="2"/>
        <scheme val="minor"/>
      </rPr>
      <t xml:space="preserve"> (m)</t>
    </r>
  </si>
  <si>
    <r>
      <rPr>
        <b/>
        <sz val="14"/>
        <color theme="1"/>
        <rFont val="Symbol"/>
        <family val="1"/>
        <charset val="2"/>
      </rPr>
      <t>D</t>
    </r>
    <r>
      <rPr>
        <b/>
        <sz val="14"/>
        <color theme="1"/>
        <rFont val="Calibri"/>
        <family val="2"/>
        <scheme val="minor"/>
      </rPr>
      <t xml:space="preserve"> N</t>
    </r>
    <r>
      <rPr>
        <b/>
        <sz val="10"/>
        <color theme="1"/>
        <rFont val="Calibri"/>
        <family val="2"/>
        <scheme val="minor"/>
      </rPr>
      <t xml:space="preserve"> (m)</t>
    </r>
  </si>
  <si>
    <r>
      <t xml:space="preserve">Dist </t>
    </r>
    <r>
      <rPr>
        <b/>
        <i/>
        <sz val="10"/>
        <color theme="1"/>
        <rFont val="Calibri"/>
        <family val="2"/>
        <scheme val="minor"/>
      </rPr>
      <t>(m)</t>
    </r>
  </si>
  <si>
    <r>
      <t xml:space="preserve">Gis. Brut </t>
    </r>
    <r>
      <rPr>
        <b/>
        <i/>
        <sz val="10"/>
        <color theme="1"/>
        <rFont val="Calibri"/>
        <family val="2"/>
        <scheme val="minor"/>
      </rPr>
      <t>(gon)</t>
    </r>
  </si>
  <si>
    <r>
      <t xml:space="preserve">Cadran </t>
    </r>
    <r>
      <rPr>
        <b/>
        <i/>
        <sz val="10"/>
        <color theme="1"/>
        <rFont val="Calibri"/>
        <family val="2"/>
        <scheme val="minor"/>
      </rPr>
      <t>(gon)</t>
    </r>
  </si>
  <si>
    <r>
      <t xml:space="preserve">Gis
</t>
    </r>
    <r>
      <rPr>
        <b/>
        <i/>
        <sz val="10"/>
        <color theme="1"/>
        <rFont val="Calibri"/>
        <family val="2"/>
        <scheme val="minor"/>
      </rPr>
      <t>(gon)</t>
    </r>
  </si>
  <si>
    <r>
      <t xml:space="preserve">Hz
</t>
    </r>
    <r>
      <rPr>
        <b/>
        <i/>
        <sz val="10"/>
        <color theme="1"/>
        <rFont val="Calibri"/>
        <family val="2"/>
        <scheme val="minor"/>
      </rPr>
      <t>(gon)</t>
    </r>
  </si>
  <si>
    <r>
      <t>G</t>
    </r>
    <r>
      <rPr>
        <b/>
        <sz val="8"/>
        <color theme="1"/>
        <rFont val="Calibri"/>
        <family val="2"/>
        <scheme val="minor"/>
      </rPr>
      <t>0</t>
    </r>
    <r>
      <rPr>
        <b/>
        <i/>
        <sz val="10"/>
        <color theme="1"/>
        <rFont val="Calibri"/>
        <family val="2"/>
        <scheme val="minor"/>
      </rPr>
      <t xml:space="preserve">
(gon)</t>
    </r>
  </si>
  <si>
    <r>
      <t>G</t>
    </r>
    <r>
      <rPr>
        <b/>
        <sz val="8"/>
        <color theme="1"/>
        <rFont val="Calibri"/>
        <family val="2"/>
        <scheme val="minor"/>
      </rPr>
      <t>0</t>
    </r>
    <r>
      <rPr>
        <b/>
        <sz val="14"/>
        <color theme="1"/>
        <rFont val="Calibri"/>
        <family val="2"/>
        <scheme val="minor"/>
      </rPr>
      <t xml:space="preserve"> moy</t>
    </r>
    <r>
      <rPr>
        <b/>
        <i/>
        <sz val="10"/>
        <color theme="1"/>
        <rFont val="Calibri"/>
        <family val="2"/>
        <scheme val="minor"/>
      </rPr>
      <t xml:space="preserve">
(gon)</t>
    </r>
  </si>
  <si>
    <r>
      <rPr>
        <b/>
        <sz val="18"/>
        <color theme="1"/>
        <rFont val="Symbol"/>
        <family val="1"/>
        <charset val="2"/>
      </rPr>
      <t>e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i/>
        <sz val="10"/>
        <color theme="1"/>
        <rFont val="Calibri"/>
        <family val="2"/>
        <scheme val="minor"/>
      </rPr>
      <t>(mgon)</t>
    </r>
  </si>
  <si>
    <r>
      <rPr>
        <sz val="14"/>
        <color theme="1"/>
        <rFont val="Symbol"/>
        <family val="1"/>
        <charset val="2"/>
      </rPr>
      <t>S</t>
    </r>
    <r>
      <rPr>
        <sz val="14"/>
        <color theme="1"/>
        <rFont val="Calibri"/>
        <family val="2"/>
        <scheme val="minor"/>
      </rPr>
      <t xml:space="preserve"> = </t>
    </r>
  </si>
  <si>
    <r>
      <rPr>
        <b/>
        <sz val="14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(m)</t>
    </r>
  </si>
  <si>
    <r>
      <rPr>
        <b/>
        <sz val="14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 xml:space="preserve"> (m)</t>
    </r>
  </si>
  <si>
    <t>St. 515 :</t>
  </si>
  <si>
    <r>
      <t xml:space="preserve">Dist </t>
    </r>
    <r>
      <rPr>
        <b/>
        <i/>
        <sz val="10"/>
        <color theme="1"/>
        <rFont val="Calibri"/>
        <family val="2"/>
        <scheme val="minor"/>
      </rPr>
      <t>(m)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mesurée</t>
    </r>
  </si>
  <si>
    <t>St. 1002 :</t>
  </si>
  <si>
    <t>C</t>
  </si>
  <si>
    <t>A</t>
  </si>
  <si>
    <t>Carnet de mesures depuis la station A</t>
  </si>
  <si>
    <t>B</t>
  </si>
  <si>
    <t>Carnet de mesures depuis la station B</t>
  </si>
  <si>
    <t>Carnet de mesures depuis la station C</t>
  </si>
  <si>
    <t>Carnet de mesures depuis la station 1002</t>
  </si>
  <si>
    <r>
      <rPr>
        <b/>
        <sz val="14"/>
        <color theme="1"/>
        <rFont val="Symbol"/>
        <family val="1"/>
        <charset val="2"/>
      </rPr>
      <t xml:space="preserve">e
</t>
    </r>
    <r>
      <rPr>
        <b/>
        <i/>
        <sz val="8"/>
        <color theme="1"/>
        <rFont val="Calibri"/>
        <family val="2"/>
        <scheme val="minor"/>
      </rPr>
      <t>(mgon)</t>
    </r>
  </si>
  <si>
    <t>Station</t>
  </si>
  <si>
    <t xml:space="preserve">ecart = </t>
  </si>
  <si>
    <t>Gis. Comp.</t>
  </si>
  <si>
    <t>Gis. Brut</t>
  </si>
  <si>
    <t>Dist.</t>
  </si>
  <si>
    <r>
      <t>E</t>
    </r>
    <r>
      <rPr>
        <b/>
        <sz val="10"/>
        <color theme="1"/>
        <rFont val="Calibri"/>
        <family val="2"/>
        <scheme val="minor"/>
      </rPr>
      <t xml:space="preserve"> (m)</t>
    </r>
    <r>
      <rPr>
        <b/>
        <sz val="14"/>
        <color theme="1"/>
        <rFont val="Calibri"/>
        <family val="2"/>
        <scheme val="minor"/>
      </rPr>
      <t xml:space="preserve"> Brut</t>
    </r>
  </si>
  <si>
    <r>
      <t>N</t>
    </r>
    <r>
      <rPr>
        <b/>
        <sz val="10"/>
        <color theme="1"/>
        <rFont val="Calibri"/>
        <family val="2"/>
        <scheme val="minor"/>
      </rPr>
      <t xml:space="preserve"> (m)</t>
    </r>
    <r>
      <rPr>
        <b/>
        <sz val="14"/>
        <color theme="1"/>
        <rFont val="Calibri"/>
        <family val="2"/>
        <scheme val="minor"/>
      </rPr>
      <t xml:space="preserve"> Brut</t>
    </r>
  </si>
  <si>
    <t xml:space="preserve">compensation =  </t>
  </si>
  <si>
    <t xml:space="preserve"> - ecart</t>
  </si>
  <si>
    <r>
      <t xml:space="preserve">Comp. </t>
    </r>
    <r>
      <rPr>
        <b/>
        <sz val="10"/>
        <color theme="1"/>
        <rFont val="Calibri"/>
        <family val="2"/>
        <scheme val="minor"/>
      </rPr>
      <t>(mgon)</t>
    </r>
  </si>
  <si>
    <t>(mesuré/calculé - théorique), porte le nom de fermeture angulaire</t>
  </si>
  <si>
    <t>Porte le nom de fermeture planimétrique</t>
  </si>
  <si>
    <r>
      <t xml:space="preserve">Comp. E </t>
    </r>
    <r>
      <rPr>
        <b/>
        <sz val="10"/>
        <color theme="1"/>
        <rFont val="Calibri"/>
        <family val="2"/>
        <scheme val="minor"/>
      </rPr>
      <t>(mm)</t>
    </r>
  </si>
  <si>
    <r>
      <t xml:space="preserve">Comp. N </t>
    </r>
    <r>
      <rPr>
        <b/>
        <sz val="10"/>
        <color theme="1"/>
        <rFont val="Calibri"/>
        <family val="2"/>
        <scheme val="minor"/>
      </rPr>
      <t>(mm)</t>
    </r>
  </si>
  <si>
    <r>
      <t>E</t>
    </r>
    <r>
      <rPr>
        <b/>
        <sz val="10"/>
        <color theme="1"/>
        <rFont val="Calibri"/>
        <family val="2"/>
        <scheme val="minor"/>
      </rPr>
      <t xml:space="preserve"> (m)</t>
    </r>
  </si>
  <si>
    <r>
      <t>N</t>
    </r>
    <r>
      <rPr>
        <b/>
        <sz val="10"/>
        <color theme="1"/>
        <rFont val="Calibri"/>
        <family val="2"/>
        <scheme val="minor"/>
      </rPr>
      <t xml:space="preserve"> (m)</t>
    </r>
  </si>
  <si>
    <t>Vo d'arr. mesuré =</t>
  </si>
  <si>
    <t>ID</t>
  </si>
  <si>
    <t>E</t>
  </si>
  <si>
    <t>N</t>
  </si>
  <si>
    <t>mm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</si>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</sst>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00_-;\-* #,##0.000_-;_-* &quot;-&quot;??_-;_-@_-"/>
    <numFmt numFmtId="165" formatCode="0.0000"/>
    <numFmt numFmtId="166" formatCode="_-* #,##0.0000_-;\-* #,##0.0000_-;_-* &quot;-&quot;??_-;_-@_-"/>
    <numFmt numFmtId="168" formatCode="_-* #,##0_-;\-* #,##0_-;_-* &quot;-&quot;??_-;_-@_-"/>
    <numFmt numFmtId="170" formatCode="0.0"/>
    <numFmt numFmtId="172" formatCode="_-* #,##0.000\ _€_-;\-* #,##0.000\ _€_-;_-* &quot;-&quot;???\ _€_-;_-@_-"/>
    <numFmt numFmtId="173" formatCode="_-* #,##0.0000\ _€_-;\-* #,##0.0000\ _€_-;_-* &quot;-&quot;???\ _€_-;_-@_-"/>
    <numFmt numFmtId="174" formatCode="_-* #,##0.0000\ _€_-;\-* #,##0.0000\ _€_-;_-* &quot;-&quot;??\ _€_-;_-@_-"/>
    <numFmt numFmtId="176" formatCode="_-* #,##0.000\ _€_-;\-* #,##0.000\ _€_-;_-* &quot;-&quot;?????\ _€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1"/>
      <charset val="2"/>
      <scheme val="minor"/>
    </font>
    <font>
      <b/>
      <sz val="14"/>
      <color theme="1"/>
      <name val="Symbol"/>
      <family val="1"/>
      <charset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theme="1"/>
      <name val="Symbol"/>
      <family val="1"/>
      <charset val="2"/>
    </font>
    <font>
      <sz val="14"/>
      <color theme="1"/>
      <name val="Calibri"/>
      <family val="1"/>
      <charset val="2"/>
      <scheme val="minor"/>
    </font>
    <font>
      <sz val="14"/>
      <color theme="1"/>
      <name val="Symbol"/>
      <family val="1"/>
      <charset val="2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1"/>
      <charset val="2"/>
      <scheme val="minor"/>
    </font>
    <font>
      <b/>
      <i/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6" fontId="0" fillId="0" borderId="8" xfId="1" applyNumberFormat="1" applyFont="1" applyFill="1" applyBorder="1" applyAlignment="1">
      <alignment horizontal="center" vertical="center"/>
    </xf>
    <xf numFmtId="164" fontId="0" fillId="0" borderId="8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164" fontId="16" fillId="0" borderId="1" xfId="1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164" fontId="16" fillId="0" borderId="8" xfId="1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4" fontId="16" fillId="0" borderId="16" xfId="1" applyNumberFormat="1" applyFont="1" applyFill="1" applyBorder="1" applyAlignment="1">
      <alignment horizontal="center" vertical="center"/>
    </xf>
    <xf numFmtId="164" fontId="16" fillId="0" borderId="17" xfId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/>
    </xf>
    <xf numFmtId="165" fontId="16" fillId="2" borderId="8" xfId="0" applyNumberFormat="1" applyFont="1" applyFill="1" applyBorder="1" applyAlignment="1">
      <alignment horizontal="center" vertical="center"/>
    </xf>
    <xf numFmtId="43" fontId="16" fillId="0" borderId="1" xfId="1" applyFont="1" applyBorder="1" applyAlignment="1">
      <alignment horizontal="center" vertical="center"/>
    </xf>
    <xf numFmtId="43" fontId="16" fillId="0" borderId="8" xfId="1" applyFont="1" applyBorder="1" applyAlignment="1">
      <alignment horizontal="center" vertical="center"/>
    </xf>
    <xf numFmtId="164" fontId="16" fillId="0" borderId="1" xfId="1" applyNumberFormat="1" applyFont="1" applyBorder="1" applyAlignment="1">
      <alignment horizontal="center" vertical="center"/>
    </xf>
    <xf numFmtId="164" fontId="16" fillId="0" borderId="8" xfId="1" applyNumberFormat="1" applyFont="1" applyBorder="1" applyAlignment="1">
      <alignment horizontal="center" vertical="center"/>
    </xf>
    <xf numFmtId="168" fontId="6" fillId="0" borderId="12" xfId="0" applyNumberFormat="1" applyFont="1" applyBorder="1" applyAlignment="1">
      <alignment horizontal="center" vertical="center"/>
    </xf>
    <xf numFmtId="165" fontId="16" fillId="0" borderId="8" xfId="0" applyNumberFormat="1" applyFont="1" applyBorder="1" applyAlignment="1">
      <alignment horizontal="center" vertical="center"/>
    </xf>
    <xf numFmtId="165" fontId="16" fillId="3" borderId="8" xfId="0" applyNumberFormat="1" applyFont="1" applyFill="1" applyBorder="1" applyAlignment="1">
      <alignment horizontal="center" vertical="center"/>
    </xf>
    <xf numFmtId="170" fontId="16" fillId="0" borderId="6" xfId="0" applyNumberFormat="1" applyFont="1" applyBorder="1" applyAlignment="1">
      <alignment horizontal="center" vertical="center"/>
    </xf>
    <xf numFmtId="170" fontId="16" fillId="0" borderId="9" xfId="0" applyNumberFormat="1" applyFont="1" applyBorder="1" applyAlignment="1">
      <alignment horizontal="center" vertical="center"/>
    </xf>
    <xf numFmtId="164" fontId="16" fillId="4" borderId="1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6" fontId="0" fillId="0" borderId="3" xfId="1" applyNumberFormat="1" applyFont="1" applyFill="1" applyBorder="1" applyAlignment="1">
      <alignment horizontal="center" vertical="center"/>
    </xf>
    <xf numFmtId="164" fontId="0" fillId="0" borderId="3" xfId="1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16" fillId="0" borderId="18" xfId="1" applyNumberFormat="1" applyFont="1" applyBorder="1" applyAlignment="1">
      <alignment horizontal="center" vertical="center"/>
    </xf>
    <xf numFmtId="165" fontId="16" fillId="3" borderId="13" xfId="0" applyNumberFormat="1" applyFont="1" applyFill="1" applyBorder="1" applyAlignment="1">
      <alignment horizontal="center" vertical="center"/>
    </xf>
    <xf numFmtId="43" fontId="16" fillId="0" borderId="22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0" fontId="16" fillId="0" borderId="30" xfId="0" applyFon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164" fontId="16" fillId="0" borderId="42" xfId="1" applyNumberFormat="1" applyFont="1" applyBorder="1" applyAlignment="1">
      <alignment vertical="center"/>
    </xf>
    <xf numFmtId="164" fontId="16" fillId="0" borderId="9" xfId="1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166" fontId="0" fillId="0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73" fontId="16" fillId="0" borderId="14" xfId="0" applyNumberFormat="1" applyFont="1" applyBorder="1" applyAlignment="1">
      <alignment vertical="center"/>
    </xf>
    <xf numFmtId="174" fontId="0" fillId="0" borderId="0" xfId="0" applyNumberFormat="1" applyAlignment="1">
      <alignment vertical="center"/>
    </xf>
    <xf numFmtId="173" fontId="0" fillId="0" borderId="34" xfId="0" applyNumberFormat="1" applyBorder="1" applyAlignment="1">
      <alignment vertical="center"/>
    </xf>
    <xf numFmtId="172" fontId="16" fillId="0" borderId="3" xfId="0" applyNumberFormat="1" applyFont="1" applyBorder="1" applyAlignment="1">
      <alignment vertical="center"/>
    </xf>
    <xf numFmtId="172" fontId="16" fillId="0" borderId="4" xfId="0" applyNumberFormat="1" applyFont="1" applyBorder="1" applyAlignment="1">
      <alignment vertical="center"/>
    </xf>
    <xf numFmtId="172" fontId="0" fillId="0" borderId="28" xfId="0" applyNumberFormat="1" applyBorder="1" applyAlignment="1">
      <alignment vertical="center"/>
    </xf>
    <xf numFmtId="0" fontId="0" fillId="0" borderId="21" xfId="0" applyBorder="1" applyAlignment="1">
      <alignment horizontal="left" vertical="center"/>
    </xf>
    <xf numFmtId="166" fontId="17" fillId="0" borderId="1" xfId="0" applyNumberFormat="1" applyFont="1" applyBorder="1" applyAlignment="1">
      <alignment horizontal="center" vertical="center"/>
    </xf>
    <xf numFmtId="166" fontId="17" fillId="0" borderId="8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0" fillId="2" borderId="6" xfId="0" applyNumberFormat="1" applyFill="1" applyBorder="1" applyAlignment="1">
      <alignment horizontal="center" vertical="center"/>
    </xf>
    <xf numFmtId="164" fontId="16" fillId="0" borderId="23" xfId="1" applyNumberFormat="1" applyFont="1" applyFill="1" applyBorder="1" applyAlignment="1">
      <alignment horizontal="center" vertical="center"/>
    </xf>
    <xf numFmtId="164" fontId="16" fillId="0" borderId="28" xfId="1" applyNumberFormat="1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right" vertical="center" wrapText="1"/>
    </xf>
    <xf numFmtId="0" fontId="16" fillId="0" borderId="38" xfId="0" applyFont="1" applyBorder="1" applyAlignment="1">
      <alignment horizontal="right" vertical="center" wrapText="1"/>
    </xf>
    <xf numFmtId="0" fontId="16" fillId="0" borderId="11" xfId="0" applyFont="1" applyBorder="1" applyAlignment="1">
      <alignment horizontal="right" vertical="center" wrapText="1"/>
    </xf>
    <xf numFmtId="0" fontId="16" fillId="0" borderId="39" xfId="0" applyFont="1" applyBorder="1" applyAlignment="1">
      <alignment horizontal="right" vertical="center" wrapText="1"/>
    </xf>
    <xf numFmtId="164" fontId="16" fillId="5" borderId="18" xfId="1" applyNumberFormat="1" applyFont="1" applyFill="1" applyBorder="1" applyAlignment="1">
      <alignment horizontal="center" vertical="center"/>
    </xf>
    <xf numFmtId="164" fontId="16" fillId="5" borderId="20" xfId="1" applyNumberFormat="1" applyFont="1" applyFill="1" applyBorder="1" applyAlignment="1">
      <alignment horizontal="center" vertical="center"/>
    </xf>
    <xf numFmtId="164" fontId="16" fillId="5" borderId="13" xfId="1" applyNumberFormat="1" applyFont="1" applyFill="1" applyBorder="1" applyAlignment="1">
      <alignment horizontal="center" vertical="center"/>
    </xf>
    <xf numFmtId="170" fontId="0" fillId="0" borderId="40" xfId="0" applyNumberFormat="1" applyBorder="1" applyAlignment="1">
      <alignment horizontal="center" vertical="center"/>
    </xf>
    <xf numFmtId="170" fontId="0" fillId="0" borderId="4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66" fontId="17" fillId="0" borderId="23" xfId="0" applyNumberFormat="1" applyFont="1" applyBorder="1" applyAlignment="1">
      <alignment horizontal="center" vertical="center"/>
    </xf>
    <xf numFmtId="166" fontId="17" fillId="0" borderId="24" xfId="0" applyNumberFormat="1" applyFont="1" applyBorder="1" applyAlignment="1">
      <alignment horizontal="center" vertical="center"/>
    </xf>
    <xf numFmtId="166" fontId="17" fillId="0" borderId="25" xfId="0" applyNumberFormat="1" applyFont="1" applyBorder="1" applyAlignment="1">
      <alignment horizontal="center" vertical="center"/>
    </xf>
    <xf numFmtId="166" fontId="16" fillId="0" borderId="23" xfId="1" applyNumberFormat="1" applyFont="1" applyFill="1" applyBorder="1" applyAlignment="1">
      <alignment horizontal="center" vertical="center"/>
    </xf>
    <xf numFmtId="166" fontId="16" fillId="0" borderId="28" xfId="1" applyNumberFormat="1" applyFont="1" applyFill="1" applyBorder="1" applyAlignment="1">
      <alignment horizontal="center" vertical="center"/>
    </xf>
    <xf numFmtId="164" fontId="16" fillId="0" borderId="36" xfId="1" applyNumberFormat="1" applyFont="1" applyFill="1" applyBorder="1" applyAlignment="1">
      <alignment horizontal="center" vertical="center"/>
    </xf>
    <xf numFmtId="164" fontId="16" fillId="0" borderId="44" xfId="1" applyNumberFormat="1" applyFont="1" applyFill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170" fontId="0" fillId="0" borderId="18" xfId="0" applyNumberFormat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164" fontId="16" fillId="0" borderId="18" xfId="1" applyNumberFormat="1" applyFont="1" applyFill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2" xfId="0" applyBorder="1" applyAlignment="1">
      <alignment vertical="center"/>
    </xf>
    <xf numFmtId="170" fontId="0" fillId="0" borderId="5" xfId="0" applyNumberFormat="1" applyBorder="1" applyAlignment="1">
      <alignment horizontal="center" vertical="center"/>
    </xf>
    <xf numFmtId="176" fontId="21" fillId="2" borderId="6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176" fontId="21" fillId="2" borderId="8" xfId="0" applyNumberFormat="1" applyFont="1" applyFill="1" applyBorder="1" applyAlignment="1">
      <alignment horizontal="center" vertical="center"/>
    </xf>
    <xf numFmtId="176" fontId="21" fillId="2" borderId="9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16" fillId="0" borderId="6" xfId="1" applyNumberFormat="1" applyFont="1" applyFill="1" applyBorder="1" applyAlignment="1">
      <alignment horizontal="center" vertical="center"/>
    </xf>
    <xf numFmtId="164" fontId="16" fillId="0" borderId="9" xfId="1" applyNumberFormat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FCD7-1E0F-4615-9462-A47E3ED72FB2}">
  <dimension ref="A1:J16"/>
  <sheetViews>
    <sheetView zoomScaleNormal="100" workbookViewId="0"/>
  </sheetViews>
  <sheetFormatPr baseColWidth="10" defaultColWidth="11.5546875" defaultRowHeight="19.2" customHeight="1"/>
  <cols>
    <col min="1" max="1" width="14.33203125" style="3" bestFit="1" customWidth="1"/>
    <col min="2" max="3" width="24.33203125" style="3" customWidth="1"/>
    <col min="4" max="6" width="17.88671875" style="3" customWidth="1"/>
    <col min="7" max="8" width="18.6640625" style="3" customWidth="1"/>
    <col min="9" max="16384" width="11.5546875" style="3"/>
  </cols>
  <sheetData>
    <row r="1" spans="1:10" ht="19.2" customHeight="1">
      <c r="A1" s="132" t="s">
        <v>54</v>
      </c>
      <c r="B1" s="133" t="s">
        <v>55</v>
      </c>
      <c r="C1" s="134" t="s">
        <v>56</v>
      </c>
      <c r="I1" s="4"/>
      <c r="J1" s="4"/>
    </row>
    <row r="2" spans="1:10" ht="19.2" customHeight="1">
      <c r="A2" s="130">
        <v>501</v>
      </c>
      <c r="B2" s="20">
        <v>1898002.023</v>
      </c>
      <c r="C2" s="135">
        <v>3123615.4369999999</v>
      </c>
      <c r="I2" s="4"/>
      <c r="J2" s="4"/>
    </row>
    <row r="3" spans="1:10" ht="19.2" customHeight="1">
      <c r="A3" s="130">
        <v>502</v>
      </c>
      <c r="B3" s="20">
        <v>1897993.6129999999</v>
      </c>
      <c r="C3" s="135">
        <v>3123594.2540000002</v>
      </c>
      <c r="I3" s="4"/>
      <c r="J3" s="4"/>
    </row>
    <row r="4" spans="1:10" ht="19.2" customHeight="1">
      <c r="A4" s="130">
        <v>511</v>
      </c>
      <c r="B4" s="20">
        <v>1897911.8529999999</v>
      </c>
      <c r="C4" s="135">
        <v>3123694.0279999999</v>
      </c>
      <c r="I4" s="4"/>
      <c r="J4" s="4"/>
    </row>
    <row r="5" spans="1:10" ht="19.2" customHeight="1">
      <c r="A5" s="130">
        <v>513</v>
      </c>
      <c r="B5" s="20">
        <v>1897982.128</v>
      </c>
      <c r="C5" s="135">
        <v>3123668.236</v>
      </c>
      <c r="I5" s="4"/>
      <c r="J5" s="4"/>
    </row>
    <row r="6" spans="1:10" ht="19.2" customHeight="1">
      <c r="A6" s="130">
        <v>514</v>
      </c>
      <c r="B6" s="20">
        <v>1898024.69</v>
      </c>
      <c r="C6" s="135">
        <v>3123669.449</v>
      </c>
      <c r="I6" s="4"/>
      <c r="J6" s="4"/>
    </row>
    <row r="7" spans="1:10" ht="19.2" customHeight="1">
      <c r="A7" s="130">
        <v>516</v>
      </c>
      <c r="B7" s="20">
        <v>1898021.385</v>
      </c>
      <c r="C7" s="135">
        <v>3123619.5389999999</v>
      </c>
      <c r="I7" s="4"/>
      <c r="J7" s="4"/>
    </row>
    <row r="8" spans="1:10" ht="19.2" customHeight="1">
      <c r="A8" s="130">
        <v>550</v>
      </c>
      <c r="B8" s="20">
        <v>1897978.138</v>
      </c>
      <c r="C8" s="135">
        <v>3123709.0989999999</v>
      </c>
      <c r="I8" s="4"/>
      <c r="J8" s="4"/>
    </row>
    <row r="9" spans="1:10" ht="19.2" customHeight="1">
      <c r="A9" s="130">
        <v>1000</v>
      </c>
      <c r="B9" s="20">
        <v>1898028.2879999999</v>
      </c>
      <c r="C9" s="135">
        <v>3123681.1269999999</v>
      </c>
    </row>
    <row r="10" spans="1:10" ht="19.2" customHeight="1">
      <c r="A10" s="130" t="s">
        <v>0</v>
      </c>
      <c r="B10" s="20">
        <v>1898039.9893</v>
      </c>
      <c r="C10" s="135">
        <v>3123684.5630999999</v>
      </c>
    </row>
    <row r="11" spans="1:10" ht="19.2" customHeight="1">
      <c r="A11" s="130" t="s">
        <v>1</v>
      </c>
      <c r="B11" s="20">
        <f>B10+10</f>
        <v>1898049.9893</v>
      </c>
      <c r="C11" s="135">
        <f>C10</f>
        <v>3123684.5630999999</v>
      </c>
    </row>
    <row r="12" spans="1:10" ht="19.2" customHeight="1">
      <c r="A12" s="130" t="s">
        <v>2</v>
      </c>
      <c r="B12" s="20">
        <f>B11</f>
        <v>1898049.9893</v>
      </c>
      <c r="C12" s="135">
        <f>C11-10</f>
        <v>3123674.5630999999</v>
      </c>
    </row>
    <row r="13" spans="1:10" ht="19.2" customHeight="1">
      <c r="A13" s="130" t="s">
        <v>3</v>
      </c>
      <c r="B13" s="20">
        <f>B10</f>
        <v>1898039.9893</v>
      </c>
      <c r="C13" s="135">
        <f>C10-10</f>
        <v>3123674.5630999999</v>
      </c>
    </row>
    <row r="14" spans="1:10" ht="19.2" customHeight="1">
      <c r="A14" s="130">
        <v>1003</v>
      </c>
      <c r="B14" s="20">
        <v>1897797.0619999999</v>
      </c>
      <c r="C14" s="135">
        <v>3123497.7590000001</v>
      </c>
    </row>
    <row r="15" spans="1:10" ht="19.2" customHeight="1">
      <c r="A15" s="130">
        <v>1001</v>
      </c>
      <c r="B15" s="20">
        <v>1897908.6359999999</v>
      </c>
      <c r="C15" s="135">
        <v>3123541.3459999999</v>
      </c>
    </row>
    <row r="16" spans="1:10" ht="19.2" customHeight="1" thickBot="1">
      <c r="A16" s="131">
        <v>507</v>
      </c>
      <c r="B16" s="25">
        <v>1897919.5049999999</v>
      </c>
      <c r="C16" s="136">
        <v>3123531.1839999999</v>
      </c>
    </row>
  </sheetData>
  <phoneticPr fontId="18" type="noConversion"/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A08F-D2E9-400D-8713-D5878BFEF32D}">
  <dimension ref="A1:M43"/>
  <sheetViews>
    <sheetView workbookViewId="0">
      <selection activeCell="F27" sqref="F27:F28"/>
    </sheetView>
  </sheetViews>
  <sheetFormatPr baseColWidth="10" defaultRowHeight="18.600000000000001" customHeight="1"/>
  <cols>
    <col min="1" max="4" width="10" customWidth="1"/>
    <col min="5" max="6" width="14.44140625" customWidth="1"/>
    <col min="7" max="7" width="8.21875" customWidth="1"/>
    <col min="8" max="11" width="10" customWidth="1"/>
    <col min="12" max="13" width="14.44140625" customWidth="1"/>
  </cols>
  <sheetData>
    <row r="1" spans="1:13" ht="18.600000000000001" customHeight="1" thickBot="1">
      <c r="A1" s="76" t="s">
        <v>12</v>
      </c>
      <c r="B1" s="76"/>
      <c r="C1" s="76"/>
      <c r="D1" s="76"/>
      <c r="E1" s="76"/>
      <c r="F1" s="76"/>
      <c r="H1" s="76" t="s">
        <v>35</v>
      </c>
      <c r="I1" s="76"/>
      <c r="J1" s="76"/>
      <c r="K1" s="76"/>
      <c r="L1" s="76"/>
      <c r="M1" s="76"/>
    </row>
    <row r="2" spans="1:13" ht="18.600000000000001" customHeight="1">
      <c r="A2" s="1" t="s">
        <v>6</v>
      </c>
      <c r="B2" s="8" t="s">
        <v>7</v>
      </c>
      <c r="C2" s="2" t="s">
        <v>4</v>
      </c>
      <c r="D2" s="2" t="s">
        <v>5</v>
      </c>
      <c r="E2" s="2" t="s">
        <v>10</v>
      </c>
      <c r="F2" s="66" t="s">
        <v>11</v>
      </c>
      <c r="H2" s="1" t="s">
        <v>6</v>
      </c>
      <c r="I2" s="8" t="s">
        <v>7</v>
      </c>
      <c r="J2" s="2" t="s">
        <v>4</v>
      </c>
      <c r="K2" s="2" t="s">
        <v>5</v>
      </c>
      <c r="L2" s="2" t="s">
        <v>10</v>
      </c>
      <c r="M2" s="66" t="s">
        <v>11</v>
      </c>
    </row>
    <row r="3" spans="1:13" ht="18.600000000000001" customHeight="1">
      <c r="A3" s="80">
        <v>501</v>
      </c>
      <c r="B3" s="5" t="s">
        <v>8</v>
      </c>
      <c r="C3" s="6">
        <v>348.41059999999999</v>
      </c>
      <c r="D3" s="7">
        <v>38.6667870574909</v>
      </c>
      <c r="E3" s="82">
        <f>IF(C4&lt;C3,(C4+C3+200)/2,(C4+C3-200)/2)</f>
        <v>348.41134999999997</v>
      </c>
      <c r="F3" s="83">
        <f>(D3+D4)/2</f>
        <v>38.665339459811307</v>
      </c>
      <c r="H3" s="80">
        <v>1003</v>
      </c>
      <c r="I3" s="5" t="s">
        <v>8</v>
      </c>
      <c r="J3" s="6">
        <v>291.69398496801375</v>
      </c>
      <c r="K3" s="7">
        <v>54.176499999999997</v>
      </c>
      <c r="L3" s="82">
        <f>IF(J4&lt;J3,(J4+J3+200)/2,(J4+J3-200)/2)</f>
        <v>291.693404644981</v>
      </c>
      <c r="M3" s="83">
        <f>(K3+K4)/2</f>
        <v>54.176050000000004</v>
      </c>
    </row>
    <row r="4" spans="1:13" ht="18.600000000000001" customHeight="1">
      <c r="A4" s="80"/>
      <c r="B4" s="5" t="s">
        <v>9</v>
      </c>
      <c r="C4" s="6">
        <v>148.41210000000001</v>
      </c>
      <c r="D4" s="7">
        <v>38.66389186213172</v>
      </c>
      <c r="E4" s="82"/>
      <c r="F4" s="83"/>
      <c r="H4" s="80"/>
      <c r="I4" s="5" t="s">
        <v>9</v>
      </c>
      <c r="J4" s="6">
        <v>91.692824321948194</v>
      </c>
      <c r="K4" s="7">
        <v>54.175600000000003</v>
      </c>
      <c r="L4" s="82"/>
      <c r="M4" s="83"/>
    </row>
    <row r="5" spans="1:13" ht="18.600000000000001" customHeight="1">
      <c r="A5" s="80">
        <v>502</v>
      </c>
      <c r="B5" s="5" t="s">
        <v>8</v>
      </c>
      <c r="C5" s="6">
        <v>354.47869999999995</v>
      </c>
      <c r="D5" s="7">
        <v>60.979267624427727</v>
      </c>
      <c r="E5" s="82">
        <f t="shared" ref="E5" si="0">IF(C6&lt;C5,(C6+C5+200)/2,(C6+C5-200)/2)</f>
        <v>354.47944999999993</v>
      </c>
      <c r="F5" s="83">
        <f t="shared" ref="F5" si="1">(D5+D6)/2</f>
        <v>60.981311449152727</v>
      </c>
      <c r="H5" s="80" t="s">
        <v>29</v>
      </c>
      <c r="I5" s="5" t="s">
        <v>8</v>
      </c>
      <c r="J5" s="6">
        <v>41.298656597903246</v>
      </c>
      <c r="K5" s="7">
        <v>69.811999999999998</v>
      </c>
      <c r="L5" s="82">
        <f t="shared" ref="L5" si="2">IF(J6&lt;J5,(J6+J5+200)/2,(J6+J5-200)/2)</f>
        <v>41.297942141390109</v>
      </c>
      <c r="M5" s="83">
        <f t="shared" ref="M5" si="3">(K5+K6)/2</f>
        <v>69.813500000000005</v>
      </c>
    </row>
    <row r="6" spans="1:13" ht="18.600000000000001" customHeight="1">
      <c r="A6" s="80"/>
      <c r="B6" s="5" t="s">
        <v>9</v>
      </c>
      <c r="C6" s="6">
        <v>154.48019999999997</v>
      </c>
      <c r="D6" s="7">
        <v>60.983355273877734</v>
      </c>
      <c r="E6" s="82"/>
      <c r="F6" s="83"/>
      <c r="H6" s="80"/>
      <c r="I6" s="5" t="s">
        <v>9</v>
      </c>
      <c r="J6" s="6">
        <v>241.29722768487696</v>
      </c>
      <c r="K6" s="7">
        <v>69.814999999999998</v>
      </c>
      <c r="L6" s="82"/>
      <c r="M6" s="83"/>
    </row>
    <row r="7" spans="1:13" ht="18.600000000000001" customHeight="1">
      <c r="A7" s="80">
        <v>511</v>
      </c>
      <c r="B7" s="5" t="s">
        <v>8</v>
      </c>
      <c r="C7" s="6">
        <v>66.274799999999999</v>
      </c>
      <c r="D7" s="7">
        <v>102.99113361551561</v>
      </c>
      <c r="E7" s="82">
        <f t="shared" ref="E7" si="4">IF(C8&lt;C7,(C8+C7+200)/2,(C8+C7-200)/2)</f>
        <v>66.27555000000001</v>
      </c>
      <c r="F7" s="83">
        <f t="shared" ref="F7" si="5">(D7+D8)/2</f>
        <v>102.99012581959489</v>
      </c>
      <c r="H7" s="80">
        <v>1001</v>
      </c>
      <c r="I7" s="5" t="s">
        <v>8</v>
      </c>
      <c r="J7" s="6">
        <v>64.142063111245079</v>
      </c>
      <c r="K7" s="7">
        <v>68.429000000000002</v>
      </c>
      <c r="L7" s="82">
        <f t="shared" ref="L7" si="6">IF(J8&lt;J7,(J8+J7+200)/2,(J8+J7-200)/2)</f>
        <v>64.141330557291269</v>
      </c>
      <c r="M7" s="83">
        <f t="shared" ref="M7" si="7">(K7+K8)/2</f>
        <v>68.4285</v>
      </c>
    </row>
    <row r="8" spans="1:13" ht="18.600000000000001" customHeight="1">
      <c r="A8" s="80"/>
      <c r="B8" s="5" t="s">
        <v>9</v>
      </c>
      <c r="C8" s="6">
        <v>266.27629999999999</v>
      </c>
      <c r="D8" s="7">
        <v>102.98911802367418</v>
      </c>
      <c r="E8" s="82"/>
      <c r="F8" s="83"/>
      <c r="H8" s="80"/>
      <c r="I8" s="5" t="s">
        <v>9</v>
      </c>
      <c r="J8" s="6">
        <v>264.14059800333746</v>
      </c>
      <c r="K8" s="7">
        <v>68.427999999999997</v>
      </c>
      <c r="L8" s="82"/>
      <c r="M8" s="83"/>
    </row>
    <row r="9" spans="1:13" ht="18.600000000000001" customHeight="1">
      <c r="A9" s="80">
        <v>513</v>
      </c>
      <c r="B9" s="5" t="s">
        <v>8</v>
      </c>
      <c r="C9" s="6">
        <v>74.556100000000043</v>
      </c>
      <c r="D9" s="7">
        <v>28.46684913702116</v>
      </c>
      <c r="E9" s="82">
        <f t="shared" ref="E9" si="8">IF(C10&lt;C9,(C10+C9+200)/2,(C10+C9-200)/2)</f>
        <v>74.556850000000054</v>
      </c>
      <c r="F9" s="83">
        <f t="shared" ref="F9" si="9">(D9+D10)/2</f>
        <v>28.465285951105177</v>
      </c>
      <c r="H9" s="80">
        <v>507</v>
      </c>
      <c r="I9" s="5" t="s">
        <v>8</v>
      </c>
      <c r="J9" s="6">
        <v>76.669547290703932</v>
      </c>
      <c r="K9" s="7">
        <v>73.614699999999999</v>
      </c>
      <c r="L9" s="82">
        <f t="shared" ref="L9" si="10">IF(J10&lt;J9,(J10+J9+200)/2,(J10+J9-200)/2)</f>
        <v>76.669950057542906</v>
      </c>
      <c r="M9" s="83">
        <f t="shared" ref="M9" si="11">(K9+K10)/2</f>
        <v>73.61484999999999</v>
      </c>
    </row>
    <row r="10" spans="1:13" ht="18.600000000000001" customHeight="1" thickBot="1">
      <c r="A10" s="80"/>
      <c r="B10" s="5" t="s">
        <v>9</v>
      </c>
      <c r="C10" s="6">
        <v>274.55760000000004</v>
      </c>
      <c r="D10" s="7">
        <v>28.463722765189193</v>
      </c>
      <c r="E10" s="82"/>
      <c r="F10" s="83"/>
      <c r="H10" s="81"/>
      <c r="I10" s="9" t="s">
        <v>9</v>
      </c>
      <c r="J10" s="10">
        <v>276.67035282438189</v>
      </c>
      <c r="K10" s="11">
        <v>73.614999999999995</v>
      </c>
      <c r="L10" s="82"/>
      <c r="M10" s="83"/>
    </row>
    <row r="11" spans="1:13" ht="18.600000000000001" customHeight="1" thickBot="1">
      <c r="A11" s="80">
        <v>514</v>
      </c>
      <c r="B11" s="5" t="s">
        <v>8</v>
      </c>
      <c r="C11" s="6">
        <v>195.25770000000003</v>
      </c>
      <c r="D11" s="7">
        <v>23.858263002889515</v>
      </c>
      <c r="E11" s="82">
        <f t="shared" ref="E11" si="12">IF(C12&lt;C11,(C12+C11+200)/2,(C12+C11-200)/2)</f>
        <v>195.25845000000004</v>
      </c>
      <c r="F11" s="83">
        <f t="shared" ref="F11" si="13">(D11+D12)/2</f>
        <v>23.857210230683549</v>
      </c>
      <c r="H11" s="76" t="s">
        <v>31</v>
      </c>
      <c r="I11" s="76"/>
      <c r="J11" s="76"/>
      <c r="K11" s="76"/>
      <c r="L11" s="76"/>
      <c r="M11" s="76"/>
    </row>
    <row r="12" spans="1:13" ht="18.600000000000001" customHeight="1">
      <c r="A12" s="80"/>
      <c r="B12" s="5" t="s">
        <v>9</v>
      </c>
      <c r="C12" s="6">
        <v>395.25920000000002</v>
      </c>
      <c r="D12" s="7">
        <v>23.856157458477586</v>
      </c>
      <c r="E12" s="82"/>
      <c r="F12" s="83"/>
      <c r="H12" s="105">
        <v>515</v>
      </c>
      <c r="I12" s="46" t="s">
        <v>8</v>
      </c>
      <c r="J12" s="47">
        <v>222.3767</v>
      </c>
      <c r="K12" s="48">
        <v>45.731000000000002</v>
      </c>
      <c r="L12" s="82">
        <f t="shared" ref="L12" si="14">IF(J13&lt;J12,(J13+J12+200)/2,(J13+J12-200)/2)</f>
        <v>222.37645000000001</v>
      </c>
      <c r="M12" s="83">
        <f t="shared" ref="M12" si="15">(K12+K13)/2</f>
        <v>45.730000000000004</v>
      </c>
    </row>
    <row r="13" spans="1:13" ht="18.600000000000001" customHeight="1">
      <c r="A13" s="80">
        <v>516</v>
      </c>
      <c r="B13" s="5" t="s">
        <v>8</v>
      </c>
      <c r="C13" s="6">
        <v>314.92770000000002</v>
      </c>
      <c r="D13" s="7">
        <v>37.308107741102916</v>
      </c>
      <c r="E13" s="82">
        <f t="shared" ref="E13" si="16">IF(C14&lt;C13,(C14+C13+200)/2,(C14+C13-200)/2)</f>
        <v>314.92845</v>
      </c>
      <c r="F13" s="83">
        <f t="shared" ref="F13" si="17">(D13+D14)/2</f>
        <v>37.3079002758708</v>
      </c>
      <c r="H13" s="80"/>
      <c r="I13" s="5" t="s">
        <v>9</v>
      </c>
      <c r="J13" s="6">
        <f>J12-200.0005</f>
        <v>22.376200000000011</v>
      </c>
      <c r="K13" s="7">
        <v>45.728999999999999</v>
      </c>
      <c r="L13" s="82"/>
      <c r="M13" s="83"/>
    </row>
    <row r="14" spans="1:13" ht="18.600000000000001" customHeight="1">
      <c r="A14" s="80"/>
      <c r="B14" s="5" t="s">
        <v>9</v>
      </c>
      <c r="C14" s="6">
        <v>114.92920000000004</v>
      </c>
      <c r="D14" s="7">
        <v>37.307692810638684</v>
      </c>
      <c r="E14" s="82"/>
      <c r="F14" s="83"/>
      <c r="H14" s="80" t="s">
        <v>32</v>
      </c>
      <c r="I14" s="5" t="s">
        <v>8</v>
      </c>
      <c r="J14" s="6">
        <v>115.08070000000001</v>
      </c>
      <c r="K14" s="7">
        <v>69.617000000000004</v>
      </c>
      <c r="L14" s="82">
        <f t="shared" ref="L14" si="18">IF(J15&lt;J14,(J15+J14+200)/2,(J15+J14-200)/2)</f>
        <v>115.08134999999999</v>
      </c>
      <c r="M14" s="83">
        <f t="shared" ref="M14" si="19">(K14+K15)/2</f>
        <v>69.616500000000002</v>
      </c>
    </row>
    <row r="15" spans="1:13" ht="18.600000000000001" customHeight="1" thickBot="1">
      <c r="A15" s="80">
        <v>550</v>
      </c>
      <c r="B15" s="5" t="s">
        <v>8</v>
      </c>
      <c r="C15" s="6">
        <v>110.40960000000004</v>
      </c>
      <c r="D15" s="7">
        <v>62.213471591831222</v>
      </c>
      <c r="E15" s="82">
        <f t="shared" ref="E15" si="20">IF(C16&lt;C15,(C16+C15+200)/2,(C16+C15-200)/2)</f>
        <v>110.41035000000005</v>
      </c>
      <c r="F15" s="83">
        <f t="shared" ref="F15" si="21">(D15+D16)/2</f>
        <v>62.212199654081985</v>
      </c>
      <c r="H15" s="81"/>
      <c r="I15" s="9" t="s">
        <v>9</v>
      </c>
      <c r="J15" s="10">
        <f>J14+200.0013</f>
        <v>315.08199999999999</v>
      </c>
      <c r="K15" s="11">
        <v>69.616</v>
      </c>
      <c r="L15" s="82"/>
      <c r="M15" s="83"/>
    </row>
    <row r="16" spans="1:13" ht="18.600000000000001" customHeight="1" thickBot="1">
      <c r="A16" s="80"/>
      <c r="B16" s="5" t="s">
        <v>9</v>
      </c>
      <c r="C16" s="6">
        <v>310.41110000000003</v>
      </c>
      <c r="D16" s="7">
        <v>62.210927716332755</v>
      </c>
      <c r="E16" s="82"/>
      <c r="F16" s="83"/>
      <c r="H16" s="76" t="s">
        <v>33</v>
      </c>
      <c r="I16" s="76"/>
      <c r="J16" s="76"/>
      <c r="K16" s="76"/>
      <c r="L16" s="76"/>
      <c r="M16" s="76"/>
    </row>
    <row r="17" spans="1:13" ht="18.600000000000001" customHeight="1">
      <c r="A17" s="80">
        <v>1000</v>
      </c>
      <c r="B17" s="5" t="s">
        <v>8</v>
      </c>
      <c r="C17" s="6">
        <v>183.37270000000001</v>
      </c>
      <c r="D17" s="7">
        <v>34.834228707376703</v>
      </c>
      <c r="E17" s="82">
        <f t="shared" ref="E17" si="22">IF(C18&lt;C17,(C18+C17+200)/2,(C18+C17-200)/2)</f>
        <v>183.37344999999999</v>
      </c>
      <c r="F17" s="83">
        <f t="shared" ref="F17" si="23">(D17+D18)/2</f>
        <v>34.832397086774719</v>
      </c>
      <c r="H17" s="105" t="s">
        <v>30</v>
      </c>
      <c r="I17" s="46" t="s">
        <v>8</v>
      </c>
      <c r="J17" s="47">
        <v>19.592800000000011</v>
      </c>
      <c r="K17" s="48">
        <v>69.617000000000004</v>
      </c>
      <c r="L17" s="82">
        <f t="shared" ref="L17" si="24">IF(J18&lt;J17,(J18+J17+200)/2,(J18+J17-200)/2)</f>
        <v>19.593050000000005</v>
      </c>
      <c r="M17" s="83">
        <f t="shared" ref="M17" si="25">(K17+K18)/2</f>
        <v>69.616700000000009</v>
      </c>
    </row>
    <row r="18" spans="1:13" ht="18.600000000000001" customHeight="1">
      <c r="A18" s="80"/>
      <c r="B18" s="5" t="s">
        <v>9</v>
      </c>
      <c r="C18" s="6">
        <v>383.37419999999997</v>
      </c>
      <c r="D18" s="7">
        <v>34.830565466172743</v>
      </c>
      <c r="E18" s="82"/>
      <c r="F18" s="83"/>
      <c r="H18" s="80"/>
      <c r="I18" s="5" t="s">
        <v>9</v>
      </c>
      <c r="J18" s="6">
        <f>J17+200.0005</f>
        <v>219.5933</v>
      </c>
      <c r="K18" s="7">
        <v>69.616399999999999</v>
      </c>
      <c r="L18" s="82"/>
      <c r="M18" s="83"/>
    </row>
    <row r="19" spans="1:13" ht="18.600000000000001" customHeight="1">
      <c r="A19" s="80" t="s">
        <v>0</v>
      </c>
      <c r="B19" s="5" t="s">
        <v>8</v>
      </c>
      <c r="C19" s="6">
        <v>193.30050000000003</v>
      </c>
      <c r="D19" s="7">
        <v>45.341616841183225</v>
      </c>
      <c r="E19" s="82">
        <f t="shared" ref="E19" si="26">IF(C20&lt;C19,(C20+C19+200)/2,(C20+C19-200)/2)</f>
        <v>193.30125000000004</v>
      </c>
      <c r="F19" s="83">
        <f t="shared" ref="F19" si="27">(D19+D20)/2</f>
        <v>45.339794045335495</v>
      </c>
      <c r="H19" s="80" t="s">
        <v>29</v>
      </c>
      <c r="I19" s="5" t="s">
        <v>8</v>
      </c>
      <c r="J19" s="6">
        <v>199.10079999999999</v>
      </c>
      <c r="K19" s="7">
        <v>60.471699999999998</v>
      </c>
      <c r="L19" s="82">
        <f t="shared" ref="L19" si="28">IF(J20&lt;J19,(J20+J19+200)/2,(J20+J19-200)/2)</f>
        <v>199.10145</v>
      </c>
      <c r="M19" s="83">
        <f t="shared" ref="M19" si="29">(K19+K20)/2</f>
        <v>60.471350000000001</v>
      </c>
    </row>
    <row r="20" spans="1:13" ht="18.600000000000001" customHeight="1" thickBot="1">
      <c r="A20" s="80"/>
      <c r="B20" s="5" t="s">
        <v>9</v>
      </c>
      <c r="C20" s="6">
        <v>393.30200000000002</v>
      </c>
      <c r="D20" s="7">
        <v>45.337971249487772</v>
      </c>
      <c r="E20" s="82"/>
      <c r="F20" s="83"/>
      <c r="H20" s="81"/>
      <c r="I20" s="9" t="s">
        <v>9</v>
      </c>
      <c r="J20" s="10">
        <f>J19+200.0013</f>
        <v>399.10209999999995</v>
      </c>
      <c r="K20" s="11">
        <v>60.470999999999997</v>
      </c>
      <c r="L20" s="82"/>
      <c r="M20" s="83"/>
    </row>
    <row r="21" spans="1:13" ht="18.600000000000001" customHeight="1" thickBot="1">
      <c r="A21" s="80" t="s">
        <v>1</v>
      </c>
      <c r="B21" s="5" t="s">
        <v>8</v>
      </c>
      <c r="C21" s="6">
        <v>201.4496</v>
      </c>
      <c r="D21" s="7">
        <v>53.121689503982864</v>
      </c>
      <c r="E21" s="82">
        <f t="shared" ref="E21" si="30">IF(C22&lt;C21,(C22+C21+200)/2,(C22+C21-200)/2)</f>
        <v>201.45035000000001</v>
      </c>
      <c r="F21" s="83">
        <f t="shared" ref="F21" si="31">(D21+D22)/2</f>
        <v>53.122481868195536</v>
      </c>
      <c r="H21" s="76" t="s">
        <v>34</v>
      </c>
      <c r="I21" s="76"/>
      <c r="J21" s="76"/>
      <c r="K21" s="76"/>
      <c r="L21" s="76"/>
      <c r="M21" s="76"/>
    </row>
    <row r="22" spans="1:13" ht="18.600000000000001" customHeight="1">
      <c r="A22" s="80"/>
      <c r="B22" s="5" t="s">
        <v>9</v>
      </c>
      <c r="C22" s="6">
        <v>1.4510999999999967</v>
      </c>
      <c r="D22" s="7">
        <v>53.123274232408214</v>
      </c>
      <c r="E22" s="82"/>
      <c r="F22" s="83"/>
      <c r="H22" s="105" t="s">
        <v>32</v>
      </c>
      <c r="I22" s="46" t="s">
        <v>8</v>
      </c>
      <c r="J22" s="47">
        <v>144.76409999999998</v>
      </c>
      <c r="K22" s="48">
        <v>60.472099999999998</v>
      </c>
      <c r="L22" s="82">
        <f t="shared" ref="L22" si="32">IF(J23&lt;J22,(J23+J22+200)/2,(J23+J22-200)/2)</f>
        <v>144.76434999999998</v>
      </c>
      <c r="M22" s="83">
        <f t="shared" ref="M22" si="33">(K22+K23)/2</f>
        <v>60.471249999999998</v>
      </c>
    </row>
    <row r="23" spans="1:13" ht="18.600000000000001" customHeight="1">
      <c r="A23" s="80" t="s">
        <v>2</v>
      </c>
      <c r="B23" s="5" t="s">
        <v>8</v>
      </c>
      <c r="C23" s="6">
        <v>212.31120000000001</v>
      </c>
      <c r="D23" s="7">
        <v>48.034584470983908</v>
      </c>
      <c r="E23" s="82">
        <f t="shared" ref="E23" si="34">IF(C24&lt;C23,(C24+C23+200)/2,(C24+C23-200)/2)</f>
        <v>212.31195000000002</v>
      </c>
      <c r="F23" s="83">
        <f t="shared" ref="F23" si="35">(D23+D24)/2</f>
        <v>48.034770510823414</v>
      </c>
      <c r="H23" s="80"/>
      <c r="I23" s="5" t="s">
        <v>9</v>
      </c>
      <c r="J23" s="6">
        <f>J22+200.0005</f>
        <v>344.76459999999997</v>
      </c>
      <c r="K23" s="7">
        <v>60.470399999999998</v>
      </c>
      <c r="L23" s="82"/>
      <c r="M23" s="83"/>
    </row>
    <row r="24" spans="1:13" ht="18.600000000000001" customHeight="1">
      <c r="A24" s="80"/>
      <c r="B24" s="5" t="s">
        <v>9</v>
      </c>
      <c r="C24" s="6">
        <v>12.312700000000007</v>
      </c>
      <c r="D24" s="7">
        <v>48.034956550662919</v>
      </c>
      <c r="E24" s="82"/>
      <c r="F24" s="83"/>
      <c r="H24" s="80">
        <v>1002</v>
      </c>
      <c r="I24" s="5" t="s">
        <v>8</v>
      </c>
      <c r="J24" s="6">
        <v>321.40469999999999</v>
      </c>
      <c r="K24" s="7">
        <v>69.820300000000003</v>
      </c>
      <c r="L24" s="82">
        <f t="shared" ref="L24" si="36">IF(J25&lt;J24,(J25+J24+200)/2,(J25+J24-200)/2)</f>
        <v>321.40404999999998</v>
      </c>
      <c r="M24" s="83">
        <f t="shared" ref="M24" si="37">(K24+K25)/2</f>
        <v>69.820300000000003</v>
      </c>
    </row>
    <row r="25" spans="1:13" ht="18.600000000000001" customHeight="1" thickBot="1">
      <c r="A25" s="80" t="s">
        <v>3</v>
      </c>
      <c r="B25" s="5" t="s">
        <v>8</v>
      </c>
      <c r="C25" s="6">
        <v>205.29190000000003</v>
      </c>
      <c r="D25" s="7">
        <v>39.251422073842697</v>
      </c>
      <c r="E25" s="82">
        <f t="shared" ref="E25" si="38">IF(C26&lt;C25,(C26+C25+200)/2,(C26+C25-200)/2)</f>
        <v>205.29265000000004</v>
      </c>
      <c r="F25" s="83">
        <f t="shared" ref="F25" si="39">(D25+D26)/2</f>
        <v>39.251388725336184</v>
      </c>
      <c r="H25" s="81"/>
      <c r="I25" s="9" t="s">
        <v>9</v>
      </c>
      <c r="J25" s="10">
        <f>J24-200.0013</f>
        <v>121.4034</v>
      </c>
      <c r="K25" s="11">
        <v>69.820300000000003</v>
      </c>
      <c r="L25" s="82"/>
      <c r="M25" s="83"/>
    </row>
    <row r="26" spans="1:13" ht="18.600000000000001" customHeight="1">
      <c r="A26" s="80"/>
      <c r="B26" s="5" t="s">
        <v>9</v>
      </c>
      <c r="C26" s="6">
        <v>5.2934000000000196</v>
      </c>
      <c r="D26" s="7">
        <v>39.251355376829665</v>
      </c>
      <c r="E26" s="82"/>
      <c r="F26" s="83"/>
      <c r="H26" s="3"/>
      <c r="I26" s="3"/>
      <c r="J26" s="67"/>
      <c r="K26" s="68"/>
      <c r="L26" s="4"/>
      <c r="M26" s="4"/>
    </row>
    <row r="27" spans="1:13" ht="18.600000000000001" customHeight="1">
      <c r="A27" s="80" t="s">
        <v>30</v>
      </c>
      <c r="B27" s="5" t="s">
        <v>8</v>
      </c>
      <c r="C27" s="6">
        <f>400-66.8123</f>
        <v>333.18770000000001</v>
      </c>
      <c r="D27" s="7">
        <v>45.728000000000002</v>
      </c>
      <c r="E27" s="82">
        <f t="shared" ref="E27" si="40">IF(C28&lt;C27,(C28+C27+200)/2,(C28+C27-200)/2)</f>
        <v>333.18787499999996</v>
      </c>
      <c r="F27" s="83">
        <f t="shared" ref="F27" si="41">(D27+D28)/2</f>
        <v>45.728999999999999</v>
      </c>
      <c r="H27" s="106"/>
      <c r="I27" s="3"/>
      <c r="J27" s="67"/>
      <c r="K27" s="68"/>
      <c r="L27" s="107"/>
      <c r="M27" s="107"/>
    </row>
    <row r="28" spans="1:13" ht="18.600000000000001" customHeight="1" thickBot="1">
      <c r="A28" s="81"/>
      <c r="B28" s="9" t="s">
        <v>9</v>
      </c>
      <c r="C28" s="10">
        <f>(C27+200.00035)-400</f>
        <v>133.18804999999998</v>
      </c>
      <c r="D28" s="11">
        <v>45.73</v>
      </c>
      <c r="E28" s="82"/>
      <c r="F28" s="83"/>
      <c r="H28" s="106"/>
      <c r="I28" s="3"/>
      <c r="J28" s="67"/>
      <c r="K28" s="68"/>
      <c r="L28" s="107"/>
      <c r="M28" s="107"/>
    </row>
    <row r="29" spans="1:13" ht="18.600000000000001" customHeight="1">
      <c r="H29" s="108"/>
      <c r="I29" s="108"/>
      <c r="J29" s="108"/>
      <c r="K29" s="108"/>
      <c r="L29" s="108"/>
      <c r="M29" s="108"/>
    </row>
    <row r="30" spans="1:13" ht="18.600000000000001" customHeight="1">
      <c r="H30" s="106"/>
      <c r="I30" s="3"/>
      <c r="J30" s="67"/>
      <c r="K30" s="68"/>
      <c r="L30" s="107"/>
      <c r="M30" s="107"/>
    </row>
    <row r="31" spans="1:13" ht="18.600000000000001" customHeight="1">
      <c r="H31" s="106"/>
      <c r="I31" s="3"/>
      <c r="J31" s="67"/>
      <c r="K31" s="68"/>
      <c r="L31" s="107"/>
      <c r="M31" s="107"/>
    </row>
    <row r="32" spans="1:13" ht="18.600000000000001" customHeight="1">
      <c r="H32" s="106"/>
      <c r="I32" s="3"/>
      <c r="J32" s="67"/>
      <c r="K32" s="68"/>
      <c r="L32" s="107"/>
      <c r="M32" s="107"/>
    </row>
    <row r="33" spans="8:13" ht="18.600000000000001" customHeight="1">
      <c r="H33" s="106"/>
      <c r="I33" s="3"/>
      <c r="J33" s="67"/>
      <c r="K33" s="68"/>
      <c r="L33" s="107"/>
      <c r="M33" s="107"/>
    </row>
    <row r="34" spans="8:13" ht="18.600000000000001" customHeight="1">
      <c r="H34" s="108"/>
      <c r="I34" s="108"/>
      <c r="J34" s="108"/>
      <c r="K34" s="108"/>
      <c r="L34" s="108"/>
      <c r="M34" s="108"/>
    </row>
    <row r="35" spans="8:13" ht="18.600000000000001" customHeight="1">
      <c r="H35" s="106"/>
      <c r="I35" s="3"/>
      <c r="J35" s="67"/>
      <c r="K35" s="68"/>
      <c r="L35" s="107"/>
      <c r="M35" s="107"/>
    </row>
    <row r="36" spans="8:13" ht="18.600000000000001" customHeight="1">
      <c r="H36" s="106"/>
      <c r="I36" s="3"/>
      <c r="J36" s="67"/>
      <c r="K36" s="68"/>
      <c r="L36" s="107"/>
      <c r="M36" s="107"/>
    </row>
    <row r="37" spans="8:13" ht="18.600000000000001" customHeight="1">
      <c r="H37" s="106"/>
      <c r="I37" s="3"/>
      <c r="J37" s="67"/>
      <c r="K37" s="68"/>
      <c r="L37" s="107"/>
      <c r="M37" s="107"/>
    </row>
    <row r="38" spans="8:13" ht="18.600000000000001" customHeight="1">
      <c r="H38" s="106"/>
      <c r="I38" s="3"/>
      <c r="J38" s="67"/>
      <c r="K38" s="68"/>
      <c r="L38" s="107"/>
      <c r="M38" s="107"/>
    </row>
    <row r="39" spans="8:13" ht="18.600000000000001" customHeight="1">
      <c r="H39" s="108"/>
      <c r="I39" s="108"/>
      <c r="J39" s="108"/>
      <c r="K39" s="108"/>
      <c r="L39" s="108"/>
      <c r="M39" s="108"/>
    </row>
    <row r="40" spans="8:13" ht="18.600000000000001" customHeight="1">
      <c r="H40" s="106"/>
      <c r="I40" s="3"/>
      <c r="J40" s="67"/>
      <c r="K40" s="68"/>
      <c r="L40" s="107"/>
      <c r="M40" s="107"/>
    </row>
    <row r="41" spans="8:13" ht="18.600000000000001" customHeight="1">
      <c r="H41" s="106"/>
      <c r="I41" s="3"/>
      <c r="J41" s="67"/>
      <c r="K41" s="68"/>
      <c r="L41" s="107"/>
      <c r="M41" s="107"/>
    </row>
    <row r="42" spans="8:13" ht="18.600000000000001" customHeight="1">
      <c r="H42" s="106"/>
      <c r="I42" s="3"/>
      <c r="J42" s="67"/>
      <c r="K42" s="68"/>
      <c r="L42" s="107"/>
      <c r="M42" s="107"/>
    </row>
    <row r="43" spans="8:13" ht="18.600000000000001" customHeight="1">
      <c r="H43" s="106"/>
      <c r="I43" s="3"/>
      <c r="J43" s="67"/>
      <c r="K43" s="68"/>
      <c r="L43" s="107"/>
      <c r="M43" s="107"/>
    </row>
  </sheetData>
  <mergeCells count="98">
    <mergeCell ref="H42:H43"/>
    <mergeCell ref="L42:L43"/>
    <mergeCell ref="M42:M43"/>
    <mergeCell ref="H37:H38"/>
    <mergeCell ref="L37:L38"/>
    <mergeCell ref="M37:M38"/>
    <mergeCell ref="H39:M39"/>
    <mergeCell ref="H40:H41"/>
    <mergeCell ref="L40:L41"/>
    <mergeCell ref="M40:M41"/>
    <mergeCell ref="H32:H33"/>
    <mergeCell ref="L32:L33"/>
    <mergeCell ref="M32:M33"/>
    <mergeCell ref="H34:M34"/>
    <mergeCell ref="H35:H36"/>
    <mergeCell ref="L35:L36"/>
    <mergeCell ref="M35:M36"/>
    <mergeCell ref="H27:H28"/>
    <mergeCell ref="L27:L28"/>
    <mergeCell ref="M27:M28"/>
    <mergeCell ref="H29:M29"/>
    <mergeCell ref="H30:H31"/>
    <mergeCell ref="L30:L31"/>
    <mergeCell ref="M30:M31"/>
    <mergeCell ref="H7:H8"/>
    <mergeCell ref="L7:L8"/>
    <mergeCell ref="M7:M8"/>
    <mergeCell ref="H9:H10"/>
    <mergeCell ref="L9:L10"/>
    <mergeCell ref="M9:M10"/>
    <mergeCell ref="H1:M1"/>
    <mergeCell ref="H3:H4"/>
    <mergeCell ref="L3:L4"/>
    <mergeCell ref="M3:M4"/>
    <mergeCell ref="H5:H6"/>
    <mergeCell ref="L5:L6"/>
    <mergeCell ref="M5:M6"/>
    <mergeCell ref="H24:H25"/>
    <mergeCell ref="L24:L25"/>
    <mergeCell ref="M24:M25"/>
    <mergeCell ref="H19:H20"/>
    <mergeCell ref="L19:L20"/>
    <mergeCell ref="M19:M20"/>
    <mergeCell ref="H21:M21"/>
    <mergeCell ref="H22:H23"/>
    <mergeCell ref="L22:L23"/>
    <mergeCell ref="M22:M23"/>
    <mergeCell ref="H14:H15"/>
    <mergeCell ref="L14:L15"/>
    <mergeCell ref="M14:M15"/>
    <mergeCell ref="H16:M16"/>
    <mergeCell ref="H17:H18"/>
    <mergeCell ref="L17:L18"/>
    <mergeCell ref="M17:M18"/>
    <mergeCell ref="A27:A28"/>
    <mergeCell ref="E27:E28"/>
    <mergeCell ref="F27:F28"/>
    <mergeCell ref="H11:M11"/>
    <mergeCell ref="H12:H13"/>
    <mergeCell ref="L12:L13"/>
    <mergeCell ref="M12:M13"/>
    <mergeCell ref="A23:A24"/>
    <mergeCell ref="E23:E24"/>
    <mergeCell ref="F23:F24"/>
    <mergeCell ref="A25:A26"/>
    <mergeCell ref="E25:E26"/>
    <mergeCell ref="F25:F26"/>
    <mergeCell ref="A19:A20"/>
    <mergeCell ref="E19:E20"/>
    <mergeCell ref="F19:F20"/>
    <mergeCell ref="A21:A22"/>
    <mergeCell ref="E21:E22"/>
    <mergeCell ref="F21:F22"/>
    <mergeCell ref="A15:A16"/>
    <mergeCell ref="E15:E16"/>
    <mergeCell ref="F15:F16"/>
    <mergeCell ref="A17:A18"/>
    <mergeCell ref="E17:E18"/>
    <mergeCell ref="F17:F18"/>
    <mergeCell ref="A11:A12"/>
    <mergeCell ref="E11:E12"/>
    <mergeCell ref="F11:F12"/>
    <mergeCell ref="A13:A14"/>
    <mergeCell ref="E13:E14"/>
    <mergeCell ref="F13:F14"/>
    <mergeCell ref="A7:A8"/>
    <mergeCell ref="E7:E8"/>
    <mergeCell ref="F7:F8"/>
    <mergeCell ref="A9:A10"/>
    <mergeCell ref="E9:E10"/>
    <mergeCell ref="F9:F10"/>
    <mergeCell ref="A1:F1"/>
    <mergeCell ref="A3:A4"/>
    <mergeCell ref="E3:E4"/>
    <mergeCell ref="F3:F4"/>
    <mergeCell ref="A5:A6"/>
    <mergeCell ref="E5:E6"/>
    <mergeCell ref="F5:F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EB01D-A32A-46C3-BED1-B1C690DC0CD6}">
  <dimension ref="A1:O11"/>
  <sheetViews>
    <sheetView workbookViewId="0">
      <selection activeCell="M3" sqref="M3:N10"/>
    </sheetView>
  </sheetViews>
  <sheetFormatPr baseColWidth="10" defaultRowHeight="14.4"/>
  <cols>
    <col min="1" max="1" width="9.5546875" bestFit="1" customWidth="1"/>
    <col min="2" max="6" width="15.109375" bestFit="1" customWidth="1"/>
    <col min="7" max="15" width="12.77734375" customWidth="1"/>
  </cols>
  <sheetData>
    <row r="1" spans="1:15" s="3" customFormat="1" ht="19.2" customHeight="1" thickBot="1">
      <c r="A1" s="27" t="s">
        <v>26</v>
      </c>
      <c r="B1" s="28">
        <v>1898006.669</v>
      </c>
      <c r="C1" s="29">
        <v>3123653.8190000001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s="3" customFormat="1" ht="67.95" customHeight="1">
      <c r="A2" s="13" t="s">
        <v>6</v>
      </c>
      <c r="B2" s="18" t="s">
        <v>24</v>
      </c>
      <c r="C2" s="18" t="s">
        <v>25</v>
      </c>
      <c r="D2" s="23" t="s">
        <v>13</v>
      </c>
      <c r="E2" s="14" t="s">
        <v>14</v>
      </c>
      <c r="F2" s="15" t="s">
        <v>15</v>
      </c>
      <c r="G2" s="31" t="s">
        <v>27</v>
      </c>
      <c r="H2" s="15" t="s">
        <v>16</v>
      </c>
      <c r="I2" s="15" t="s">
        <v>17</v>
      </c>
      <c r="J2" s="15" t="s">
        <v>18</v>
      </c>
      <c r="K2" s="33" t="s">
        <v>19</v>
      </c>
      <c r="L2" s="15" t="s">
        <v>20</v>
      </c>
      <c r="M2" s="79" t="s">
        <v>21</v>
      </c>
      <c r="N2" s="79"/>
      <c r="O2" s="16" t="s">
        <v>22</v>
      </c>
    </row>
    <row r="3" spans="1:15" s="3" customFormat="1" ht="29.4" customHeight="1">
      <c r="A3" s="19">
        <v>501</v>
      </c>
      <c r="B3" s="20">
        <v>1898002.023</v>
      </c>
      <c r="C3" s="20">
        <v>3123615.4369999999</v>
      </c>
      <c r="D3" s="38">
        <f>B3-$B$1</f>
        <v>-4.6459999999497086</v>
      </c>
      <c r="E3" s="38">
        <f>C3-$C$1</f>
        <v>-38.382000000216067</v>
      </c>
      <c r="F3" s="38">
        <f>SQRT(D3^2+E3^2)</f>
        <v>38.662168071851823</v>
      </c>
      <c r="G3" s="32">
        <v>38.665500000000002</v>
      </c>
      <c r="H3" s="22">
        <f>ATAN(D3/E3)*200/PI()</f>
        <v>7.6687388785264989</v>
      </c>
      <c r="I3" s="21">
        <v>200</v>
      </c>
      <c r="J3" s="36">
        <f>H3+I3</f>
        <v>207.66873887852651</v>
      </c>
      <c r="K3" s="34">
        <v>348.41134999999997</v>
      </c>
      <c r="L3" s="22">
        <f>J3-K3+400</f>
        <v>259.25738887852651</v>
      </c>
      <c r="M3" s="77">
        <f>(L3*F3+L4*F4+L5*F5+L6*F6+L7*F7+F8*L8+L9*F9+L10*F10)/F11</f>
        <v>259.25756617726404</v>
      </c>
      <c r="N3" s="77"/>
      <c r="O3" s="43">
        <f>(L3-$M$3)*1000</f>
        <v>-0.17729873752614367</v>
      </c>
    </row>
    <row r="4" spans="1:15" s="3" customFormat="1" ht="29.4" customHeight="1">
      <c r="A4" s="19">
        <v>502</v>
      </c>
      <c r="B4" s="20">
        <v>1897993.6129999999</v>
      </c>
      <c r="C4" s="20">
        <v>3123594.2540000002</v>
      </c>
      <c r="D4" s="38">
        <f t="shared" ref="D4:D10" si="0">B4-$B$1</f>
        <v>-13.05600000009872</v>
      </c>
      <c r="E4" s="38">
        <f t="shared" ref="E4:E10" si="1">C4-$C$1</f>
        <v>-59.564999999944121</v>
      </c>
      <c r="F4" s="38">
        <f>SQRT(D4^2+E4^2)</f>
        <v>60.979081339389829</v>
      </c>
      <c r="G4" s="32">
        <v>60.981311449152727</v>
      </c>
      <c r="H4" s="22">
        <f>ATAN(D4/E4)*200/PI()</f>
        <v>13.73677323073133</v>
      </c>
      <c r="I4" s="21">
        <v>200</v>
      </c>
      <c r="J4" s="36">
        <f>H4+I4</f>
        <v>213.73677323073133</v>
      </c>
      <c r="K4" s="34">
        <v>354.47944999999993</v>
      </c>
      <c r="L4" s="22">
        <f t="shared" ref="L4:L10" si="2">J4-K4+400</f>
        <v>259.2573232307314</v>
      </c>
      <c r="M4" s="77"/>
      <c r="N4" s="77"/>
      <c r="O4" s="43">
        <f t="shared" ref="O4:O10" si="3">(L4-$M$3)*1000</f>
        <v>-0.24294653263723376</v>
      </c>
    </row>
    <row r="5" spans="1:15" s="3" customFormat="1" ht="29.4" customHeight="1">
      <c r="A5" s="19">
        <v>511</v>
      </c>
      <c r="B5" s="20">
        <v>1897911.8529999999</v>
      </c>
      <c r="C5" s="20">
        <v>3123694.0279999999</v>
      </c>
      <c r="D5" s="38">
        <f t="shared" si="0"/>
        <v>-94.816000000108033</v>
      </c>
      <c r="E5" s="38">
        <f t="shared" si="1"/>
        <v>40.208999999798834</v>
      </c>
      <c r="F5" s="38">
        <f t="shared" ref="F5:F10" si="4">SQRT(D5^2+E5^2)</f>
        <v>102.98950207183404</v>
      </c>
      <c r="G5" s="32">
        <v>102.99012581959489</v>
      </c>
      <c r="H5" s="22">
        <f t="shared" ref="H5:H10" si="5">ATAN(D5/E5)*200/PI()</f>
        <v>-74.466068868690883</v>
      </c>
      <c r="I5" s="21">
        <v>400</v>
      </c>
      <c r="J5" s="36">
        <f t="shared" ref="J5:J10" si="6">H5+I5</f>
        <v>325.53393113130915</v>
      </c>
      <c r="K5" s="34">
        <v>66.27555000000001</v>
      </c>
      <c r="L5" s="22">
        <f>J5-K5</f>
        <v>259.25838113130914</v>
      </c>
      <c r="M5" s="77"/>
      <c r="N5" s="77"/>
      <c r="O5" s="43">
        <f t="shared" si="3"/>
        <v>0.81495404509723812</v>
      </c>
    </row>
    <row r="6" spans="1:15" s="3" customFormat="1" ht="29.4" customHeight="1">
      <c r="A6" s="19">
        <v>513</v>
      </c>
      <c r="B6" s="20">
        <v>1897982.128</v>
      </c>
      <c r="C6" s="20">
        <v>3123668.236</v>
      </c>
      <c r="D6" s="38">
        <f t="shared" si="0"/>
        <v>-24.540999999968335</v>
      </c>
      <c r="E6" s="38">
        <f t="shared" si="1"/>
        <v>14.416999999899417</v>
      </c>
      <c r="F6" s="38">
        <f t="shared" si="4"/>
        <v>28.462441392044106</v>
      </c>
      <c r="G6" s="32">
        <v>28.465285951105177</v>
      </c>
      <c r="H6" s="22">
        <f t="shared" si="5"/>
        <v>-66.185797622384428</v>
      </c>
      <c r="I6" s="21">
        <v>400</v>
      </c>
      <c r="J6" s="36">
        <f t="shared" si="6"/>
        <v>333.81420237761557</v>
      </c>
      <c r="K6" s="34">
        <v>74.556850000000054</v>
      </c>
      <c r="L6" s="22">
        <f>J6-K6</f>
        <v>259.25735237761552</v>
      </c>
      <c r="M6" s="77"/>
      <c r="N6" s="77"/>
      <c r="O6" s="43">
        <f t="shared" si="3"/>
        <v>-0.21379964852030753</v>
      </c>
    </row>
    <row r="7" spans="1:15" s="3" customFormat="1" ht="29.4" customHeight="1">
      <c r="A7" s="19">
        <v>514</v>
      </c>
      <c r="B7" s="20">
        <v>1898024.69</v>
      </c>
      <c r="C7" s="20">
        <v>3123669.449</v>
      </c>
      <c r="D7" s="38">
        <f t="shared" si="0"/>
        <v>18.020999999949709</v>
      </c>
      <c r="E7" s="38">
        <f t="shared" si="1"/>
        <v>15.629999999888241</v>
      </c>
      <c r="F7" s="38">
        <f t="shared" si="4"/>
        <v>23.854838942962786</v>
      </c>
      <c r="G7" s="32">
        <v>23.857210230683549</v>
      </c>
      <c r="H7" s="22">
        <f t="shared" si="5"/>
        <v>54.515776839055071</v>
      </c>
      <c r="I7" s="21">
        <v>0</v>
      </c>
      <c r="J7" s="36">
        <f t="shared" si="6"/>
        <v>54.515776839055071</v>
      </c>
      <c r="K7" s="34">
        <v>195.25845000000004</v>
      </c>
      <c r="L7" s="22">
        <f t="shared" si="2"/>
        <v>259.25732683905505</v>
      </c>
      <c r="M7" s="77"/>
      <c r="N7" s="77"/>
      <c r="O7" s="43">
        <f t="shared" si="3"/>
        <v>-0.23933820898491831</v>
      </c>
    </row>
    <row r="8" spans="1:15" s="3" customFormat="1" ht="29.4" customHeight="1">
      <c r="A8" s="19">
        <v>516</v>
      </c>
      <c r="B8" s="20">
        <v>1898021.385</v>
      </c>
      <c r="C8" s="20">
        <v>3123619.5389999999</v>
      </c>
      <c r="D8" s="38">
        <f t="shared" si="0"/>
        <v>14.716000000014901</v>
      </c>
      <c r="E8" s="38">
        <f t="shared" si="1"/>
        <v>-34.28000000026077</v>
      </c>
      <c r="F8" s="38">
        <f t="shared" si="4"/>
        <v>37.305214863585988</v>
      </c>
      <c r="G8" s="32">
        <v>37.3079002758708</v>
      </c>
      <c r="H8" s="22">
        <f t="shared" si="5"/>
        <v>-25.814752865830823</v>
      </c>
      <c r="I8" s="21">
        <v>200</v>
      </c>
      <c r="J8" s="36">
        <f t="shared" si="6"/>
        <v>174.18524713416917</v>
      </c>
      <c r="K8" s="34">
        <v>314.92845</v>
      </c>
      <c r="L8" s="22">
        <f t="shared" si="2"/>
        <v>259.25679713416918</v>
      </c>
      <c r="M8" s="77"/>
      <c r="N8" s="77"/>
      <c r="O8" s="43">
        <f t="shared" si="3"/>
        <v>-0.76904309486280908</v>
      </c>
    </row>
    <row r="9" spans="1:15" s="3" customFormat="1" ht="29.4" customHeight="1">
      <c r="A9" s="19">
        <v>550</v>
      </c>
      <c r="B9" s="20">
        <v>1897978.138</v>
      </c>
      <c r="C9" s="20">
        <v>3123709.0989999999</v>
      </c>
      <c r="D9" s="38">
        <f t="shared" si="0"/>
        <v>-28.530999999959022</v>
      </c>
      <c r="E9" s="38">
        <f t="shared" si="1"/>
        <v>55.279999999795109</v>
      </c>
      <c r="F9" s="38">
        <f t="shared" si="4"/>
        <v>62.208491068141242</v>
      </c>
      <c r="G9" s="32">
        <v>62.212199654081985</v>
      </c>
      <c r="H9" s="22">
        <f t="shared" si="5"/>
        <v>-30.332300648839187</v>
      </c>
      <c r="I9" s="21">
        <v>400</v>
      </c>
      <c r="J9" s="36">
        <f t="shared" si="6"/>
        <v>369.66769935116082</v>
      </c>
      <c r="K9" s="34">
        <v>110.41035000000005</v>
      </c>
      <c r="L9" s="22">
        <f>J9-K9</f>
        <v>259.25734935116077</v>
      </c>
      <c r="M9" s="77"/>
      <c r="N9" s="77"/>
      <c r="O9" s="43">
        <f t="shared" si="3"/>
        <v>-0.21682610326934082</v>
      </c>
    </row>
    <row r="10" spans="1:15" s="3" customFormat="1" ht="29.4" customHeight="1" thickBot="1">
      <c r="A10" s="24">
        <v>1000</v>
      </c>
      <c r="B10" s="25">
        <v>1898028.2879999999</v>
      </c>
      <c r="C10" s="25">
        <v>3123681.1269999999</v>
      </c>
      <c r="D10" s="39">
        <f t="shared" si="0"/>
        <v>21.618999999947846</v>
      </c>
      <c r="E10" s="38">
        <f t="shared" si="1"/>
        <v>27.307999999728054</v>
      </c>
      <c r="F10" s="38">
        <f t="shared" si="4"/>
        <v>34.829700328640392</v>
      </c>
      <c r="G10" s="35">
        <v>34.832397086774719</v>
      </c>
      <c r="H10" s="41">
        <f t="shared" si="5"/>
        <v>42.630778164181216</v>
      </c>
      <c r="I10" s="26">
        <v>0</v>
      </c>
      <c r="J10" s="37">
        <f t="shared" si="6"/>
        <v>42.630778164181216</v>
      </c>
      <c r="K10" s="42">
        <v>183.37344999999999</v>
      </c>
      <c r="L10" s="41">
        <f t="shared" si="2"/>
        <v>259.25732816418122</v>
      </c>
      <c r="M10" s="78"/>
      <c r="N10" s="78"/>
      <c r="O10" s="44">
        <f t="shared" si="3"/>
        <v>-0.23801308282145328</v>
      </c>
    </row>
    <row r="11" spans="1:15" s="3" customFormat="1" ht="19.2" customHeight="1" thickBot="1">
      <c r="A11" s="12"/>
      <c r="B11" s="12"/>
      <c r="C11" s="12"/>
      <c r="D11" s="12"/>
      <c r="E11" s="17" t="s">
        <v>23</v>
      </c>
      <c r="F11" s="40">
        <f>SUM(F3:F10)</f>
        <v>389.29143807845026</v>
      </c>
      <c r="G11" s="12"/>
      <c r="H11" s="12"/>
      <c r="I11" s="12"/>
      <c r="J11" s="12"/>
      <c r="K11" s="12"/>
      <c r="L11" s="12"/>
      <c r="M11" s="12"/>
      <c r="N11" s="12"/>
    </row>
  </sheetData>
  <mergeCells count="2">
    <mergeCell ref="M2:N2"/>
    <mergeCell ref="M3:N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C0D8A-600C-452D-967F-C77CB6B11D4E}">
  <dimension ref="A1:L7"/>
  <sheetViews>
    <sheetView workbookViewId="0"/>
  </sheetViews>
  <sheetFormatPr baseColWidth="10" defaultColWidth="15.5546875" defaultRowHeight="14.4"/>
  <cols>
    <col min="1" max="9" width="15.5546875" style="54"/>
    <col min="10" max="10" width="18.21875" style="54" bestFit="1" customWidth="1"/>
    <col min="11" max="11" width="10" style="54" customWidth="1"/>
    <col min="12" max="12" width="17.33203125" style="54" bestFit="1" customWidth="1"/>
    <col min="13" max="13" width="16.88671875" style="54" bestFit="1" customWidth="1"/>
    <col min="14" max="16384" width="15.5546875" style="54"/>
  </cols>
  <sheetData>
    <row r="1" spans="1:12" ht="18.600000000000001" thickBot="1">
      <c r="A1" s="27" t="s">
        <v>28</v>
      </c>
      <c r="B1" s="28">
        <v>1897850.7779999999</v>
      </c>
      <c r="C1" s="29">
        <v>3123504.8080000002</v>
      </c>
      <c r="D1" s="12"/>
      <c r="E1" s="12"/>
      <c r="F1" s="12"/>
      <c r="G1" s="12"/>
      <c r="H1" s="12"/>
      <c r="I1" s="12"/>
      <c r="J1" s="12"/>
      <c r="K1" s="3"/>
    </row>
    <row r="2" spans="1:12" ht="39.6" customHeight="1">
      <c r="A2" s="13" t="s">
        <v>6</v>
      </c>
      <c r="B2" s="18" t="s">
        <v>24</v>
      </c>
      <c r="C2" s="18" t="s">
        <v>25</v>
      </c>
      <c r="D2" s="23" t="s">
        <v>13</v>
      </c>
      <c r="E2" s="14" t="s">
        <v>14</v>
      </c>
      <c r="F2" s="15" t="s">
        <v>15</v>
      </c>
      <c r="G2" s="15" t="s">
        <v>18</v>
      </c>
      <c r="H2" s="33" t="s">
        <v>19</v>
      </c>
      <c r="I2" s="15" t="s">
        <v>20</v>
      </c>
      <c r="J2" s="15" t="s">
        <v>21</v>
      </c>
      <c r="K2" s="49" t="s">
        <v>36</v>
      </c>
    </row>
    <row r="3" spans="1:12" ht="31.2" customHeight="1" thickBot="1">
      <c r="A3" s="19">
        <v>1003</v>
      </c>
      <c r="B3" s="20">
        <v>1897797.0619999999</v>
      </c>
      <c r="C3" s="20">
        <v>3123497.7590000001</v>
      </c>
      <c r="D3" s="38">
        <f>B3-$B$1</f>
        <v>-53.716000000014901</v>
      </c>
      <c r="E3" s="38">
        <f>C3-$C$1</f>
        <v>-7.049000000115484</v>
      </c>
      <c r="F3" s="38">
        <f>SQRT(D3*D3+E3*E3)</f>
        <v>54.17653603732181</v>
      </c>
      <c r="G3" s="22">
        <f>ATAN(D3/E3)*200/PI()+200</f>
        <v>291.69328245180799</v>
      </c>
      <c r="H3" s="34">
        <f>Carnets!L3</f>
        <v>291.693404644981</v>
      </c>
      <c r="I3" s="22">
        <f>G3-H3+400</f>
        <v>399.99987780682699</v>
      </c>
      <c r="J3" s="109">
        <f>((I3-400)*F3+(I5-400)*F5+I6*F6)/F7</f>
        <v>4.6556799680061531E-4</v>
      </c>
      <c r="K3" s="43">
        <f>($J$3-I3)*1000</f>
        <v>-399999.41223883018</v>
      </c>
      <c r="L3" s="69"/>
    </row>
    <row r="4" spans="1:12" ht="31.2" customHeight="1" thickBot="1">
      <c r="A4" s="19" t="s">
        <v>29</v>
      </c>
      <c r="B4" s="45"/>
      <c r="C4" s="45"/>
      <c r="D4" s="38"/>
      <c r="E4" s="38"/>
      <c r="F4" s="51"/>
      <c r="G4" s="53">
        <f>J3+H4</f>
        <v>41.298407709386908</v>
      </c>
      <c r="H4" s="52">
        <f>Carnets!L5</f>
        <v>41.297942141390109</v>
      </c>
      <c r="I4" s="22"/>
      <c r="J4" s="110"/>
      <c r="K4" s="43"/>
    </row>
    <row r="5" spans="1:12" ht="31.2" customHeight="1">
      <c r="A5" s="19">
        <v>1001</v>
      </c>
      <c r="B5" s="20">
        <v>1897908.6359999999</v>
      </c>
      <c r="C5" s="20">
        <v>3123541.3459999999</v>
      </c>
      <c r="D5" s="38">
        <f t="shared" ref="D5:D6" si="0">B5-$B$1</f>
        <v>57.858000000007451</v>
      </c>
      <c r="E5" s="38">
        <f t="shared" ref="E5:E6" si="1">C5-$C$1</f>
        <v>36.537999999709427</v>
      </c>
      <c r="F5" s="38">
        <f t="shared" ref="F5:F6" si="2">SQRT(D5*D5+E5*E5)</f>
        <v>68.429332949982992</v>
      </c>
      <c r="G5" s="22">
        <f>ATAN(D5/E5)*200/PI()</f>
        <v>64.141236526095426</v>
      </c>
      <c r="H5" s="34">
        <f>Carnets!L7</f>
        <v>64.141330557291269</v>
      </c>
      <c r="I5" s="22">
        <f t="shared" ref="I5" si="3">G5-H5+400</f>
        <v>399.99990596880417</v>
      </c>
      <c r="J5" s="110"/>
      <c r="K5" s="43">
        <f t="shared" ref="K5:K6" si="4">($J$3-I5)*1000</f>
        <v>-399999.44040080736</v>
      </c>
      <c r="L5" s="69"/>
    </row>
    <row r="6" spans="1:12" ht="31.2" customHeight="1" thickBot="1">
      <c r="A6" s="24">
        <v>507</v>
      </c>
      <c r="B6" s="25">
        <v>1897919.5049999999</v>
      </c>
      <c r="C6" s="25">
        <v>3123531.1839999999</v>
      </c>
      <c r="D6" s="39">
        <f t="shared" si="0"/>
        <v>68.726999999955297</v>
      </c>
      <c r="E6" s="38">
        <f t="shared" si="1"/>
        <v>26.375999999698251</v>
      </c>
      <c r="F6" s="38">
        <f t="shared" si="2"/>
        <v>73.61449520969316</v>
      </c>
      <c r="G6" s="22">
        <f>ATAN(D6/E6)*200/PI()</f>
        <v>76.67136837083082</v>
      </c>
      <c r="H6" s="42">
        <f>Carnets!L9</f>
        <v>76.669950057542906</v>
      </c>
      <c r="I6" s="41">
        <f>G6-H6</f>
        <v>1.4183132879139748E-3</v>
      </c>
      <c r="J6" s="111"/>
      <c r="K6" s="44">
        <f t="shared" si="4"/>
        <v>-0.95274529111335948</v>
      </c>
      <c r="L6" s="69"/>
    </row>
    <row r="7" spans="1:12" ht="18.600000000000001" thickBot="1">
      <c r="A7" s="12"/>
      <c r="B7" s="12"/>
      <c r="C7" s="12"/>
      <c r="D7" s="12"/>
      <c r="E7" s="17" t="s">
        <v>23</v>
      </c>
      <c r="F7" s="40">
        <f>F6+F5+F3</f>
        <v>196.22036419699793</v>
      </c>
      <c r="G7" s="12"/>
      <c r="H7" s="12"/>
      <c r="I7" s="12"/>
      <c r="J7" s="12"/>
      <c r="K7" s="3"/>
    </row>
  </sheetData>
  <mergeCells count="1">
    <mergeCell ref="J3:J6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D699-7103-4B41-BA08-F8BE0C2E881C}">
  <dimension ref="A1:M18"/>
  <sheetViews>
    <sheetView tabSelected="1" workbookViewId="0"/>
  </sheetViews>
  <sheetFormatPr baseColWidth="10" defaultColWidth="15.5546875" defaultRowHeight="14.4"/>
  <cols>
    <col min="1" max="1" width="15.5546875" style="54"/>
    <col min="2" max="2" width="17.109375" style="54" bestFit="1" customWidth="1"/>
    <col min="3" max="9" width="15.5546875" style="54"/>
    <col min="10" max="10" width="18.21875" style="54" bestFit="1" customWidth="1"/>
    <col min="11" max="11" width="10" style="54" customWidth="1"/>
    <col min="12" max="12" width="17.33203125" style="54" bestFit="1" customWidth="1"/>
    <col min="13" max="13" width="16.88671875" style="54" bestFit="1" customWidth="1"/>
    <col min="14" max="16384" width="15.5546875" style="54"/>
  </cols>
  <sheetData>
    <row r="1" spans="1:13" ht="15" thickBot="1"/>
    <row r="2" spans="1:13" ht="31.2" customHeight="1">
      <c r="A2" s="61" t="s">
        <v>37</v>
      </c>
      <c r="B2" s="23" t="s">
        <v>40</v>
      </c>
      <c r="C2" s="23" t="s">
        <v>46</v>
      </c>
      <c r="D2" s="23" t="s">
        <v>39</v>
      </c>
      <c r="E2" s="23" t="s">
        <v>41</v>
      </c>
      <c r="F2" s="23" t="s">
        <v>13</v>
      </c>
      <c r="G2" s="14" t="s">
        <v>14</v>
      </c>
      <c r="H2" s="50" t="s">
        <v>42</v>
      </c>
      <c r="I2" s="119" t="s">
        <v>43</v>
      </c>
      <c r="J2" s="61" t="s">
        <v>49</v>
      </c>
      <c r="K2" s="23" t="s">
        <v>50</v>
      </c>
      <c r="L2" s="50" t="s">
        <v>51</v>
      </c>
      <c r="M2" s="30" t="s">
        <v>52</v>
      </c>
    </row>
    <row r="3" spans="1:13" ht="19.2" customHeight="1">
      <c r="A3" s="86">
        <v>515</v>
      </c>
      <c r="B3" s="100"/>
      <c r="C3" s="101"/>
      <c r="D3" s="101"/>
      <c r="E3" s="101"/>
      <c r="F3" s="101"/>
      <c r="G3" s="102"/>
      <c r="H3" s="84">
        <f>'V0 515'!B1</f>
        <v>1898006.669</v>
      </c>
      <c r="I3" s="115">
        <f>'V0 515'!C1</f>
        <v>3123653.8190000001</v>
      </c>
      <c r="J3" s="121"/>
      <c r="K3" s="122"/>
      <c r="L3" s="122"/>
      <c r="M3" s="123"/>
    </row>
    <row r="4" spans="1:13" ht="19.2" customHeight="1">
      <c r="A4" s="87"/>
      <c r="B4" s="112">
        <f>259.257566177264+Carnets!E27-400</f>
        <v>192.445441177264</v>
      </c>
      <c r="C4" s="84">
        <f>($B$16/COUNT($B$4:$B$11))*1000</f>
        <v>-8.3669692330090584E-3</v>
      </c>
      <c r="D4" s="84">
        <f>B4+SUM($C$4:C4)/1000</f>
        <v>192.44543281029476</v>
      </c>
      <c r="E4" s="84">
        <f>(Carnets!F27+Carnets!M12)/2</f>
        <v>45.729500000000002</v>
      </c>
      <c r="F4" s="84">
        <f>SIN(D4*PI()/200)*E4</f>
        <v>5.4138493019343885</v>
      </c>
      <c r="G4" s="84">
        <f>COS(D4*PI()/200)*E4</f>
        <v>-45.407900259601796</v>
      </c>
      <c r="H4" s="85"/>
      <c r="I4" s="114"/>
      <c r="J4" s="124">
        <f>($H$16/COUNT($G$4:$G$11))*1000</f>
        <v>-0.67966867936775088</v>
      </c>
      <c r="K4" s="116">
        <f>($I$16/COUNT($G$4:$G$11))*1000</f>
        <v>-1.1991066858172417</v>
      </c>
      <c r="L4" s="122"/>
      <c r="M4" s="123"/>
    </row>
    <row r="5" spans="1:13" ht="19.2" customHeight="1">
      <c r="A5" s="86" t="s">
        <v>30</v>
      </c>
      <c r="B5" s="113"/>
      <c r="C5" s="85"/>
      <c r="D5" s="85"/>
      <c r="E5" s="85"/>
      <c r="F5" s="85"/>
      <c r="G5" s="85"/>
      <c r="H5" s="84">
        <f>H3+F4</f>
        <v>1898012.0828493019</v>
      </c>
      <c r="I5" s="115">
        <f>I3+G4</f>
        <v>3123608.4110997403</v>
      </c>
      <c r="J5" s="124"/>
      <c r="K5" s="117"/>
      <c r="L5" s="118">
        <f>H3+F4+J4/1000</f>
        <v>1898012.0821696331</v>
      </c>
      <c r="M5" s="125">
        <f>I3+G4+K4/1000</f>
        <v>3123608.4099006336</v>
      </c>
    </row>
    <row r="6" spans="1:13" ht="19.2" customHeight="1">
      <c r="A6" s="87"/>
      <c r="B6" s="112">
        <f>B4+Carnets!L14-Carnets!L12+200</f>
        <v>285.15034117726395</v>
      </c>
      <c r="C6" s="84">
        <f t="shared" ref="C6" si="0">($B$16/COUNT($B$4:$B$11))*1000</f>
        <v>-8.3669692330090584E-3</v>
      </c>
      <c r="D6" s="84">
        <f>B6+SUM($C$4:C6)/1000</f>
        <v>285.15032444332547</v>
      </c>
      <c r="E6" s="84">
        <f>(Carnets!M14+Carnets!M17)/2</f>
        <v>69.616600000000005</v>
      </c>
      <c r="F6" s="84">
        <f t="shared" ref="F6" si="1">SIN(D6*PI()/200)*E6</f>
        <v>-67.731273972151115</v>
      </c>
      <c r="G6" s="84">
        <f t="shared" ref="G6" si="2">COS(D6*PI()/200)*E6</f>
        <v>-16.091784291041375</v>
      </c>
      <c r="H6" s="85"/>
      <c r="I6" s="114"/>
      <c r="J6" s="124">
        <f t="shared" ref="J6:J11" si="3">($H$16/COUNT($G$4:$G$11))*1000</f>
        <v>-0.67966867936775088</v>
      </c>
      <c r="K6" s="117">
        <f t="shared" ref="K6:K11" si="4">($I$16/COUNT($G$4:$G$11))*1000</f>
        <v>-1.1991066858172417</v>
      </c>
      <c r="L6" s="118"/>
      <c r="M6" s="125"/>
    </row>
    <row r="7" spans="1:13" ht="19.2" customHeight="1">
      <c r="A7" s="86" t="s">
        <v>32</v>
      </c>
      <c r="B7" s="113"/>
      <c r="C7" s="85"/>
      <c r="D7" s="85"/>
      <c r="E7" s="85"/>
      <c r="F7" s="85"/>
      <c r="G7" s="85"/>
      <c r="H7" s="84">
        <f t="shared" ref="H7:I7" si="5">H5+F6</f>
        <v>1897944.3515753297</v>
      </c>
      <c r="I7" s="115">
        <f t="shared" si="5"/>
        <v>3123592.3193154493</v>
      </c>
      <c r="J7" s="124"/>
      <c r="K7" s="117"/>
      <c r="L7" s="118">
        <f>L5+F6+J6/1000</f>
        <v>1897944.3502159922</v>
      </c>
      <c r="M7" s="125">
        <f>M5+G6+K6/1000</f>
        <v>3123592.316917236</v>
      </c>
    </row>
    <row r="8" spans="1:13" ht="19.2" customHeight="1">
      <c r="A8" s="87"/>
      <c r="B8" s="112">
        <f>B6+Carnets!L19-Carnets!L17+200-400</f>
        <v>264.65874117726389</v>
      </c>
      <c r="C8" s="84">
        <f t="shared" ref="C8" si="6">($B$16/COUNT($B$4:$B$11))*1000</f>
        <v>-8.3669692330090584E-3</v>
      </c>
      <c r="D8" s="84">
        <f>B8+SUM($C$4:C8)/1000</f>
        <v>264.6587160763562</v>
      </c>
      <c r="E8" s="84">
        <f>(Carnets!M19+Carnets!M22)/2</f>
        <v>60.471299999999999</v>
      </c>
      <c r="F8" s="84">
        <f t="shared" ref="F8" si="7">SIN(D8*PI()/200)*E8</f>
        <v>-51.390135974207233</v>
      </c>
      <c r="G8" s="84">
        <f t="shared" ref="G8" si="8">COS(D8*PI()/200)*E8</f>
        <v>-31.872120234501054</v>
      </c>
      <c r="H8" s="85"/>
      <c r="I8" s="114"/>
      <c r="J8" s="124">
        <f t="shared" ref="J8:J11" si="9">($H$16/COUNT($G$4:$G$11))*1000</f>
        <v>-0.67966867936775088</v>
      </c>
      <c r="K8" s="117">
        <f t="shared" ref="K8:K11" si="10">($I$16/COUNT($G$4:$G$11))*1000</f>
        <v>-1.1991066858172417</v>
      </c>
      <c r="L8" s="118"/>
      <c r="M8" s="125"/>
    </row>
    <row r="9" spans="1:13" ht="19.2" customHeight="1">
      <c r="A9" s="86" t="s">
        <v>29</v>
      </c>
      <c r="B9" s="113"/>
      <c r="C9" s="85"/>
      <c r="D9" s="85"/>
      <c r="E9" s="85"/>
      <c r="F9" s="85"/>
      <c r="G9" s="85"/>
      <c r="H9" s="84">
        <f t="shared" ref="H9:I9" si="11">H7+F8</f>
        <v>1897892.9614393555</v>
      </c>
      <c r="I9" s="115">
        <f t="shared" si="11"/>
        <v>3123560.4471952147</v>
      </c>
      <c r="J9" s="124"/>
      <c r="K9" s="117"/>
      <c r="L9" s="118">
        <f t="shared" ref="L9:M9" si="12">L7+F8+J8/1000</f>
        <v>1897892.9594003493</v>
      </c>
      <c r="M9" s="125">
        <f t="shared" si="12"/>
        <v>3123560.4435978946</v>
      </c>
    </row>
    <row r="10" spans="1:13" ht="19.2" customHeight="1">
      <c r="A10" s="87"/>
      <c r="B10" s="112">
        <f>B8+Carnets!L24-Carnets!L22+200-400</f>
        <v>241.29844117726384</v>
      </c>
      <c r="C10" s="84">
        <f t="shared" ref="C10" si="13">($B$16/COUNT($B$4:$B$11))*1000</f>
        <v>-8.3669692330090584E-3</v>
      </c>
      <c r="D10" s="84">
        <f>B10+SUM($C$4:C10)/1000</f>
        <v>241.29840770938691</v>
      </c>
      <c r="E10" s="84">
        <f>(Carnets!M5+Carnets!M24)/2</f>
        <v>69.816900000000004</v>
      </c>
      <c r="F10" s="84">
        <f t="shared" ref="F10" si="14">SIN(D10*PI()/200)*E10</f>
        <v>-42.180720680825679</v>
      </c>
      <c r="G10" s="84">
        <f t="shared" ref="G10" si="15">COS(D10*PI()/200)*E10</f>
        <v>-55.634398787586129</v>
      </c>
      <c r="H10" s="85"/>
      <c r="I10" s="114"/>
      <c r="J10" s="124">
        <f t="shared" ref="J10:J11" si="16">($H$16/COUNT($G$4:$G$11))*1000</f>
        <v>-0.67966867936775088</v>
      </c>
      <c r="K10" s="117">
        <f t="shared" ref="K10:K11" si="17">($I$16/COUNT($G$4:$G$11))*1000</f>
        <v>-1.1991066858172417</v>
      </c>
      <c r="L10" s="118"/>
      <c r="M10" s="125"/>
    </row>
    <row r="11" spans="1:13" ht="19.2" customHeight="1">
      <c r="A11" s="86">
        <v>1002</v>
      </c>
      <c r="B11" s="113"/>
      <c r="C11" s="85"/>
      <c r="D11" s="85"/>
      <c r="E11" s="85"/>
      <c r="F11" s="85"/>
      <c r="G11" s="85"/>
      <c r="H11" s="84">
        <f t="shared" ref="H11:I11" si="18">H9+F10</f>
        <v>1897850.7807186747</v>
      </c>
      <c r="I11" s="120">
        <f t="shared" si="18"/>
        <v>3123504.8127964269</v>
      </c>
      <c r="J11" s="124"/>
      <c r="K11" s="117"/>
      <c r="L11" s="118">
        <f t="shared" ref="L11:M11" si="19">L9+F10+J10/1000</f>
        <v>1897850.7779999997</v>
      </c>
      <c r="M11" s="125">
        <f t="shared" si="19"/>
        <v>3123504.8080000002</v>
      </c>
    </row>
    <row r="12" spans="1:13" ht="19.2" customHeight="1" thickBot="1">
      <c r="A12" s="87"/>
      <c r="B12" s="100"/>
      <c r="C12" s="101"/>
      <c r="D12" s="101"/>
      <c r="E12" s="101"/>
      <c r="F12" s="101"/>
      <c r="G12" s="102"/>
      <c r="H12" s="85"/>
      <c r="I12" s="120"/>
      <c r="J12" s="126"/>
      <c r="K12" s="127"/>
      <c r="L12" s="128"/>
      <c r="M12" s="129"/>
    </row>
    <row r="13" spans="1:13" s="55" customFormat="1" ht="16.2" thickBot="1">
      <c r="A13" s="62"/>
      <c r="B13" s="63"/>
      <c r="C13" s="63"/>
      <c r="D13" s="63"/>
      <c r="E13" s="63"/>
      <c r="F13" s="63"/>
      <c r="G13" s="26">
        <f>A11</f>
        <v>1002</v>
      </c>
      <c r="H13" s="64">
        <f>'V0 1002'!B1</f>
        <v>1897850.7779999999</v>
      </c>
      <c r="I13" s="65">
        <f>'V0 1002'!C1</f>
        <v>3123504.8080000002</v>
      </c>
    </row>
    <row r="14" spans="1:13" s="55" customFormat="1" ht="15.6" customHeight="1">
      <c r="A14" s="57" t="s">
        <v>38</v>
      </c>
      <c r="B14" s="70">
        <f>B10-B18</f>
        <v>3.3467876932036233E-5</v>
      </c>
      <c r="C14" s="90" t="s">
        <v>47</v>
      </c>
      <c r="D14" s="91"/>
      <c r="E14" s="96" t="s">
        <v>48</v>
      </c>
      <c r="F14" s="97"/>
      <c r="G14" s="88" t="s">
        <v>38</v>
      </c>
      <c r="H14" s="73">
        <f>H11-H13</f>
        <v>2.7186747174710035E-3</v>
      </c>
      <c r="I14" s="74">
        <f>I11-I13</f>
        <v>4.7964267432689667E-3</v>
      </c>
      <c r="J14" s="55" t="s">
        <v>58</v>
      </c>
    </row>
    <row r="15" spans="1:13" ht="14.4" customHeight="1" thickBot="1">
      <c r="A15" s="58" t="s">
        <v>44</v>
      </c>
      <c r="B15" s="56" t="s">
        <v>45</v>
      </c>
      <c r="C15" s="92"/>
      <c r="D15" s="93"/>
      <c r="E15" s="98"/>
      <c r="F15" s="99"/>
      <c r="G15" s="89"/>
      <c r="H15" s="103">
        <f>(H14*H14+I14*I14)^0.5*1000</f>
        <v>5.5133385278759901</v>
      </c>
      <c r="I15" s="104"/>
      <c r="J15" s="54" t="s">
        <v>57</v>
      </c>
    </row>
    <row r="16" spans="1:13" ht="15" thickBot="1">
      <c r="A16" s="59" t="s">
        <v>44</v>
      </c>
      <c r="B16" s="72">
        <f>-B14</f>
        <v>-3.3467876932036233E-5</v>
      </c>
      <c r="C16" s="94"/>
      <c r="D16" s="95"/>
      <c r="G16" s="60" t="s">
        <v>44</v>
      </c>
      <c r="H16" s="75">
        <f>-H14</f>
        <v>-2.7186747174710035E-3</v>
      </c>
      <c r="I16" s="75">
        <f>-I14</f>
        <v>-4.7964267432689667E-3</v>
      </c>
      <c r="J16" s="54" t="s">
        <v>58</v>
      </c>
    </row>
    <row r="18" spans="1:2">
      <c r="A18" s="54" t="s">
        <v>53</v>
      </c>
      <c r="B18" s="71">
        <f>'V0 1002'!G4+200</f>
        <v>241.29840770938691</v>
      </c>
    </row>
  </sheetData>
  <mergeCells count="61">
    <mergeCell ref="C14:D16"/>
    <mergeCell ref="E14:F15"/>
    <mergeCell ref="G14:G15"/>
    <mergeCell ref="H15:I15"/>
    <mergeCell ref="A11:A12"/>
    <mergeCell ref="H11:H12"/>
    <mergeCell ref="I11:I12"/>
    <mergeCell ref="L11:L12"/>
    <mergeCell ref="M11:M12"/>
    <mergeCell ref="B12:G12"/>
    <mergeCell ref="L9:L10"/>
    <mergeCell ref="M9:M10"/>
    <mergeCell ref="B10:B11"/>
    <mergeCell ref="C10:C11"/>
    <mergeCell ref="D10:D11"/>
    <mergeCell ref="E10:E11"/>
    <mergeCell ref="F10:F11"/>
    <mergeCell ref="G10:G11"/>
    <mergeCell ref="J10:J11"/>
    <mergeCell ref="K10:K11"/>
    <mergeCell ref="G8:G9"/>
    <mergeCell ref="J8:J9"/>
    <mergeCell ref="K8:K9"/>
    <mergeCell ref="A9:A10"/>
    <mergeCell ref="H9:H10"/>
    <mergeCell ref="I9:I10"/>
    <mergeCell ref="A7:A8"/>
    <mergeCell ref="H7:H8"/>
    <mergeCell ref="I7:I8"/>
    <mergeCell ref="L7:L8"/>
    <mergeCell ref="M7:M8"/>
    <mergeCell ref="B8:B9"/>
    <mergeCell ref="C8:C9"/>
    <mergeCell ref="D8:D9"/>
    <mergeCell ref="E8:E9"/>
    <mergeCell ref="F8:F9"/>
    <mergeCell ref="L5:L6"/>
    <mergeCell ref="M5:M6"/>
    <mergeCell ref="B6:B7"/>
    <mergeCell ref="C6:C7"/>
    <mergeCell ref="D6:D7"/>
    <mergeCell ref="E6:E7"/>
    <mergeCell ref="F6:F7"/>
    <mergeCell ref="G6:G7"/>
    <mergeCell ref="J6:J7"/>
    <mergeCell ref="K6:K7"/>
    <mergeCell ref="G4:G5"/>
    <mergeCell ref="J4:J5"/>
    <mergeCell ref="K4:K5"/>
    <mergeCell ref="A5:A6"/>
    <mergeCell ref="H5:H6"/>
    <mergeCell ref="I5:I6"/>
    <mergeCell ref="A3:A4"/>
    <mergeCell ref="B3:G3"/>
    <mergeCell ref="H3:H4"/>
    <mergeCell ref="I3:I4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Coordonnées</vt:lpstr>
      <vt:lpstr>Carnets</vt:lpstr>
      <vt:lpstr>V0 515</vt:lpstr>
      <vt:lpstr>V0 1002</vt:lpstr>
      <vt:lpstr>Cheminement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Régnier</dc:creator>
  <cp:lastModifiedBy>Christophe Régnier</cp:lastModifiedBy>
  <cp:lastPrinted>2024-02-21T05:58:50Z</cp:lastPrinted>
  <dcterms:created xsi:type="dcterms:W3CDTF">2023-11-28T16:56:56Z</dcterms:created>
  <dcterms:modified xsi:type="dcterms:W3CDTF">2024-03-15T10:27:59Z</dcterms:modified>
</cp:coreProperties>
</file>